
<file path=[Content_Types].xml><?xml version="1.0" encoding="utf-8"?>
<Types xmlns="http://schemas.openxmlformats.org/package/2006/content-types">
  <Default Extension="rels" ContentType="application/vnd.openxmlformats-package.relationships+xml"/>
  <Default Extension="xml" ContentType="application/xml"/>
  <Default Extension="data" ContentType="application/vnd.openxmlformats-officedocument.model+data"/>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imelineCaches/timelineCache1.xml" ContentType="application/vnd.ms-excel.timeline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timelines/timeline1.xml" ContentType="application/vnd.ms-excel.timelin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127"/>
  <workbookPr codeName="ThisWorkbook" hidePivotFieldList="1" defaultThemeVersion="153222"/>
  <mc:AlternateContent xmlns:mc="http://schemas.openxmlformats.org/markup-compatibility/2006">
    <mc:Choice Requires="x15">
      <x15ac:absPath xmlns:x15ac="http://schemas.microsoft.com/office/spreadsheetml/2010/11/ac" url="D:\WordPress Blog\"/>
    </mc:Choice>
  </mc:AlternateContent>
  <bookViews>
    <workbookView xWindow="0" yWindow="0" windowWidth="20500" windowHeight="7150" tabRatio="740" activeTab="5"/>
  </bookViews>
  <sheets>
    <sheet name="Data" sheetId="7" r:id="rId1"/>
    <sheet name="Report" sheetId="28" r:id="rId2"/>
    <sheet name="Charts" sheetId="32" r:id="rId3"/>
    <sheet name="Pivot-Amt in Tons_Total Rev" sheetId="42" r:id="rId4"/>
    <sheet name="Pivot-Total Revenue" sheetId="43" r:id="rId5"/>
    <sheet name="Dashboard" sheetId="41" r:id="rId6"/>
  </sheets>
  <definedNames>
    <definedName name="_xlnm._FilterDatabase" localSheetId="0" hidden="1">Data!$A$1:$H$51</definedName>
    <definedName name="_xlcn.WorksheetConnection_InteractiveChartsandDashboards.xlsxTableName1" hidden="1">TableName</definedName>
    <definedName name="_xlcn.WorksheetConnection_InteractiveChartsandDashboards.xlsxTableVotes1" hidden="1">TableVotes</definedName>
    <definedName name="NativeTimeline_Date">#N/A</definedName>
    <definedName name="Slicer_Company">#N/A</definedName>
    <definedName name="Slicer_Item_Type">#N/A</definedName>
    <definedName name="Slicer_Metal_Type">#N/A</definedName>
    <definedName name="Slicer_Years">#N/A</definedName>
  </definedNames>
  <calcPr calcId="171027"/>
  <pivotCaches>
    <pivotCache cacheId="4" r:id="rId7"/>
  </pivotCaches>
  <extLst>
    <ext xmlns:x14="http://schemas.microsoft.com/office/spreadsheetml/2009/9/main" uri="{BBE1A952-AA13-448e-AADC-164F8A28A991}">
      <x14:slicerCaches>
        <x14:slicerCache r:id="rId8"/>
        <x14:slicerCache r:id="rId9"/>
        <x14:slicerCache r:id="rId10"/>
        <x14:slicerCache r:id="rId11"/>
      </x14:slicerCaches>
    </ext>
    <ext xmlns:x14="http://schemas.microsoft.com/office/spreadsheetml/2009/9/main" uri="{79F54976-1DA5-4618-B147-4CDE4B953A38}">
      <x14:workbookPr/>
    </ext>
    <ext xmlns:x15="http://schemas.microsoft.com/office/spreadsheetml/2010/11/main" uri="{D0CA8CA8-9F24-4464-BF8E-62219DCF47F9}">
      <x15:timelineCacheRefs>
        <x15:timelineCacheRef r:id="rId12"/>
      </x15:timelineCacheRefs>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eVotes" name="TableVotes" connection="WorksheetConnection_Interactive Charts and Dashboards.xlsx!TableVotes"/>
          <x15:modelTable id="TableName" name="TableName" connection="WorksheetConnection_Interactive Charts and Dashboards.xlsx!TableName"/>
        </x15:modelTables>
        <x15:modelRelationships>
          <x15:modelRelationship fromTable="TableVotes" fromColumn="Name" toTable="TableName" toColumn="Name"/>
        </x15:modelRelationships>
      </x15:dataModel>
    </ext>
  </extLst>
</workbook>
</file>

<file path=xl/calcChain.xml><?xml version="1.0" encoding="utf-8"?>
<calcChain xmlns="http://schemas.openxmlformats.org/spreadsheetml/2006/main">
  <c r="A1" i="32" l="1"/>
  <c r="AD23" i="28"/>
  <c r="AE22" i="28"/>
  <c r="AD22" i="28"/>
  <c r="AE21" i="28"/>
  <c r="AD21" i="28"/>
  <c r="AE20" i="28"/>
  <c r="AD20" i="28"/>
  <c r="AE19" i="28"/>
  <c r="AD19" i="28"/>
  <c r="AE18" i="28"/>
  <c r="AD18" i="28"/>
  <c r="AE17" i="28"/>
  <c r="AD17" i="28"/>
  <c r="AE16" i="28"/>
  <c r="AD16" i="28"/>
  <c r="AE15" i="28"/>
  <c r="AD15" i="28"/>
  <c r="AE14" i="28"/>
  <c r="AD14" i="28"/>
  <c r="AE13" i="28"/>
  <c r="AD13" i="28"/>
  <c r="AE12" i="28"/>
  <c r="AD12" i="28"/>
  <c r="AE11" i="28"/>
  <c r="AD11" i="28"/>
  <c r="P3" i="28"/>
  <c r="I3" i="28"/>
  <c r="B3" i="28"/>
  <c r="X21" i="28" l="1" a="1"/>
  <c r="X21" i="28" s="1"/>
  <c r="X20" i="28" a="1"/>
  <c r="X20" i="28" s="1"/>
  <c r="X19" i="28" a="1"/>
  <c r="X19" i="28" s="1"/>
  <c r="O31" i="28"/>
  <c r="P5" i="28"/>
  <c r="Q5" i="28" s="1"/>
  <c r="R5" i="28" s="1"/>
  <c r="S5" i="28" s="1"/>
  <c r="T5" i="28" s="1"/>
  <c r="H26" i="28"/>
  <c r="I5" i="28"/>
  <c r="J5" i="28" s="1"/>
  <c r="K5" i="28" s="1"/>
  <c r="L5" i="28" s="1"/>
  <c r="M5" i="28" s="1"/>
  <c r="A23" i="28"/>
  <c r="A24" i="28" s="1"/>
  <c r="X17" i="28" l="1" a="1"/>
  <c r="X17" i="28" s="1"/>
  <c r="X18" i="28" a="1"/>
  <c r="X18" i="28" s="1"/>
  <c r="X11" i="28" a="1"/>
  <c r="X11" i="28" s="1"/>
  <c r="X22" i="28" a="1"/>
  <c r="X22" i="28" s="1"/>
  <c r="X16" i="28" a="1"/>
  <c r="X16" i="28" s="1"/>
  <c r="X13" i="28" a="1"/>
  <c r="X13" i="28" s="1"/>
  <c r="X14" i="28" a="1"/>
  <c r="X14" i="28" s="1"/>
  <c r="X12" i="28" a="1"/>
  <c r="X12" i="28" s="1"/>
  <c r="X15" i="28" a="1"/>
  <c r="X15" i="28" s="1"/>
  <c r="O32" i="28"/>
  <c r="H27" i="28"/>
  <c r="Z13" i="28" l="1"/>
  <c r="Z17" i="28"/>
  <c r="Z21" i="28"/>
  <c r="Z15" i="28"/>
  <c r="Z19" i="28"/>
  <c r="Z12" i="28"/>
  <c r="Z16" i="28"/>
  <c r="Z20" i="28"/>
  <c r="Z11" i="28"/>
  <c r="Z14" i="28"/>
  <c r="Z18" i="28"/>
  <c r="Z22" i="28"/>
  <c r="X24" i="28"/>
  <c r="B5" i="28" l="1"/>
  <c r="C5" i="28" s="1"/>
  <c r="D5" i="28" s="1"/>
  <c r="G3" i="7"/>
  <c r="H3" i="7"/>
  <c r="G4" i="7"/>
  <c r="H4" i="7"/>
  <c r="G5" i="7"/>
  <c r="H5" i="7"/>
  <c r="G6" i="7"/>
  <c r="H6" i="7"/>
  <c r="G7" i="7"/>
  <c r="H7" i="7"/>
  <c r="G8" i="7"/>
  <c r="H8" i="7"/>
  <c r="G9" i="7"/>
  <c r="H9" i="7"/>
  <c r="G10" i="7"/>
  <c r="H10" i="7"/>
  <c r="G11" i="7"/>
  <c r="H11" i="7"/>
  <c r="G12" i="7"/>
  <c r="H12" i="7"/>
  <c r="G13" i="7"/>
  <c r="H13" i="7"/>
  <c r="G14" i="7"/>
  <c r="H14" i="7"/>
  <c r="G15" i="7"/>
  <c r="H15" i="7"/>
  <c r="G16" i="7"/>
  <c r="H16" i="7"/>
  <c r="G17" i="7"/>
  <c r="H17" i="7"/>
  <c r="G18" i="7"/>
  <c r="H18" i="7"/>
  <c r="G19" i="7"/>
  <c r="H19" i="7"/>
  <c r="G20" i="7"/>
  <c r="H20" i="7"/>
  <c r="G21" i="7"/>
  <c r="G46" i="7"/>
  <c r="H21" i="7"/>
  <c r="G22" i="7"/>
  <c r="H22" i="7"/>
  <c r="G23" i="7"/>
  <c r="H23" i="7"/>
  <c r="G24" i="7"/>
  <c r="H24" i="7"/>
  <c r="G25" i="7"/>
  <c r="H25" i="7"/>
  <c r="G26" i="7"/>
  <c r="H26" i="7"/>
  <c r="G27" i="7"/>
  <c r="H27" i="7"/>
  <c r="G28" i="7"/>
  <c r="H28" i="7"/>
  <c r="G29" i="7"/>
  <c r="H29" i="7"/>
  <c r="G30" i="7"/>
  <c r="H30" i="7"/>
  <c r="G31" i="7"/>
  <c r="H31" i="7"/>
  <c r="G32" i="7"/>
  <c r="H32" i="7"/>
  <c r="G33" i="7"/>
  <c r="H33" i="7"/>
  <c r="G34" i="7"/>
  <c r="H34" i="7"/>
  <c r="G35" i="7"/>
  <c r="H35" i="7"/>
  <c r="G36" i="7"/>
  <c r="H36" i="7"/>
  <c r="G37" i="7"/>
  <c r="H37" i="7"/>
  <c r="G38" i="7"/>
  <c r="H38" i="7"/>
  <c r="G39" i="7"/>
  <c r="H39" i="7"/>
  <c r="G40" i="7"/>
  <c r="H40" i="7"/>
  <c r="G41" i="7"/>
  <c r="H41" i="7"/>
  <c r="G42" i="7"/>
  <c r="H42" i="7"/>
  <c r="G43" i="7"/>
  <c r="H43" i="7"/>
  <c r="G44" i="7"/>
  <c r="H44" i="7"/>
  <c r="G45" i="7"/>
  <c r="H45" i="7"/>
  <c r="H46" i="7"/>
  <c r="G47" i="7"/>
  <c r="H47" i="7"/>
  <c r="G48" i="7"/>
  <c r="H48" i="7"/>
  <c r="G49" i="7"/>
  <c r="H49" i="7"/>
  <c r="G50" i="7"/>
  <c r="H50" i="7"/>
  <c r="G51" i="7"/>
  <c r="H51" i="7"/>
  <c r="H2" i="7"/>
  <c r="G2" i="7"/>
  <c r="Q13" i="28" l="1"/>
  <c r="K15" i="28"/>
  <c r="R13" i="28"/>
  <c r="J15" i="28"/>
  <c r="J20" i="28"/>
  <c r="C13" i="28"/>
  <c r="D13" i="28"/>
  <c r="R11" i="28"/>
  <c r="K20" i="28"/>
  <c r="Q11" i="28"/>
  <c r="R23" i="28"/>
  <c r="Q23" i="28"/>
  <c r="Q14" i="28"/>
  <c r="R14" i="28"/>
  <c r="R21" i="28"/>
  <c r="K12" i="28"/>
  <c r="Q21" i="28"/>
  <c r="J12" i="28"/>
  <c r="D11" i="28"/>
  <c r="C11" i="28"/>
  <c r="Q15" i="28"/>
  <c r="R15" i="28"/>
  <c r="K19" i="28"/>
  <c r="J19" i="28"/>
  <c r="Q24" i="28"/>
  <c r="K13" i="28"/>
  <c r="R24" i="28"/>
  <c r="J13" i="28"/>
  <c r="Q17" i="28"/>
  <c r="K11" i="28"/>
  <c r="J11" i="28"/>
  <c r="R17" i="28"/>
  <c r="C14" i="28"/>
  <c r="D14" i="28"/>
  <c r="C12" i="28"/>
  <c r="R20" i="28"/>
  <c r="D12" i="28"/>
  <c r="Q20" i="28"/>
  <c r="J18" i="28"/>
  <c r="C17" i="28"/>
  <c r="K18" i="28"/>
  <c r="D17" i="28"/>
  <c r="Q19" i="28"/>
  <c r="R19" i="28"/>
  <c r="C16" i="28"/>
  <c r="Q12" i="28"/>
  <c r="K16" i="28"/>
  <c r="J16" i="28"/>
  <c r="D16" i="28"/>
  <c r="R12" i="28"/>
  <c r="R18" i="28"/>
  <c r="Q18" i="28"/>
  <c r="R22" i="28"/>
  <c r="Q22" i="28"/>
  <c r="R25" i="28"/>
  <c r="Q25" i="28"/>
  <c r="Q16" i="28"/>
  <c r="R16" i="28"/>
  <c r="K17" i="28"/>
  <c r="J17" i="28"/>
  <c r="C15" i="28"/>
  <c r="K14" i="28"/>
  <c r="J14" i="28"/>
  <c r="D15" i="28"/>
  <c r="Y11" i="28" a="1"/>
  <c r="Y11" i="28" s="1"/>
  <c r="Y20" i="28" a="1"/>
  <c r="Y20" i="28" s="1"/>
  <c r="Y13" i="28" a="1"/>
  <c r="Y13" i="28" s="1"/>
  <c r="Y15" i="28" a="1"/>
  <c r="Y15" i="28" s="1"/>
  <c r="Y17" i="28" a="1"/>
  <c r="Y17" i="28" s="1"/>
  <c r="Y21" i="28" a="1"/>
  <c r="Y21" i="28" s="1"/>
  <c r="Y12" i="28" a="1"/>
  <c r="Y12" i="28" s="1"/>
  <c r="Y22" i="28" a="1"/>
  <c r="Y22" i="28" s="1"/>
  <c r="Y19" i="28" a="1"/>
  <c r="Y19" i="28" s="1"/>
  <c r="Y18" i="28" a="1"/>
  <c r="Y18" i="28" s="1"/>
  <c r="Y16" i="28" a="1"/>
  <c r="Y16" i="28" s="1"/>
  <c r="Y14" i="28" a="1"/>
  <c r="Y14" i="28" s="1"/>
  <c r="T9" i="28"/>
  <c r="S9" i="28"/>
  <c r="M9" i="28"/>
  <c r="L9" i="28"/>
  <c r="F9" i="28"/>
  <c r="E5" i="28"/>
  <c r="F5" i="28" s="1"/>
  <c r="E9" i="28"/>
  <c r="E12" i="28"/>
  <c r="I25" i="28" l="1"/>
  <c r="P31" i="28"/>
  <c r="B23" i="28"/>
  <c r="I26" i="28"/>
  <c r="B22" i="28"/>
  <c r="P30" i="28"/>
  <c r="L16" i="28"/>
  <c r="E11" i="28"/>
  <c r="AA12" i="28"/>
  <c r="AA16" i="28"/>
  <c r="AA20" i="28"/>
  <c r="AA14" i="28"/>
  <c r="AA18" i="28"/>
  <c r="AA22" i="28"/>
  <c r="AA15" i="28"/>
  <c r="AA19" i="28"/>
  <c r="AA11" i="28"/>
  <c r="AA13" i="28"/>
  <c r="AA17" i="28"/>
  <c r="AA21" i="28"/>
  <c r="S16" i="28"/>
  <c r="S22" i="28"/>
  <c r="E16" i="28"/>
  <c r="E17" i="28"/>
  <c r="S20" i="28"/>
  <c r="E14" i="28"/>
  <c r="E15" i="28"/>
  <c r="Y24" i="28"/>
  <c r="S14" i="28"/>
  <c r="S21" i="28"/>
  <c r="S23" i="28"/>
  <c r="S19" i="28"/>
  <c r="L19" i="28"/>
  <c r="D19" i="28"/>
  <c r="F15" i="28" s="1"/>
  <c r="L17" i="28"/>
  <c r="L14" i="28"/>
  <c r="R27" i="28"/>
  <c r="T16" i="28" s="1"/>
  <c r="K22" i="28"/>
  <c r="M15" i="28" s="1"/>
  <c r="C19" i="28"/>
  <c r="L11" i="28"/>
  <c r="J22" i="28"/>
  <c r="Q27" i="28"/>
  <c r="S11" i="28"/>
  <c r="L15" i="28"/>
  <c r="E13" i="28"/>
  <c r="S25" i="28"/>
  <c r="S18" i="28"/>
  <c r="L18" i="28"/>
  <c r="S17" i="28"/>
  <c r="L13" i="28"/>
  <c r="S13" i="28"/>
  <c r="L20" i="28"/>
  <c r="S12" i="28"/>
  <c r="S24" i="28"/>
  <c r="S15" i="28"/>
  <c r="L12" i="28"/>
  <c r="M17" i="28" l="1"/>
  <c r="M13" i="28"/>
  <c r="M19" i="28"/>
  <c r="M16" i="28"/>
  <c r="F19" i="28"/>
  <c r="M18" i="28"/>
  <c r="M20" i="28"/>
  <c r="F13" i="28"/>
  <c r="F14" i="28"/>
  <c r="F17" i="28"/>
  <c r="E19" i="28"/>
  <c r="F16" i="28"/>
  <c r="F12" i="28"/>
  <c r="F11" i="28"/>
  <c r="M12" i="28"/>
  <c r="M11" i="28"/>
  <c r="T27" i="28"/>
  <c r="S27" i="28"/>
  <c r="T21" i="28"/>
  <c r="T12" i="28"/>
  <c r="T14" i="28"/>
  <c r="T20" i="28"/>
  <c r="T13" i="28"/>
  <c r="T25" i="28"/>
  <c r="T15" i="28"/>
  <c r="M22" i="28"/>
  <c r="L22" i="28"/>
  <c r="M14" i="28"/>
  <c r="T19" i="28"/>
  <c r="T17" i="28"/>
  <c r="T22" i="28"/>
  <c r="T18" i="28"/>
  <c r="T23" i="28"/>
  <c r="T24" i="28"/>
  <c r="T11" i="28"/>
  <c r="I27" i="28" l="1"/>
  <c r="P32" i="28"/>
  <c r="B24" i="28"/>
</calcChain>
</file>

<file path=xl/connections.xml><?xml version="1.0" encoding="utf-8"?>
<connections xmlns="http://schemas.openxmlformats.org/spreadsheetml/2006/main">
  <connection id="1"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name="WorksheetConnection_Interactive Charts and Dashboards.xlsx!TableName" type="102" refreshedVersion="6" minRefreshableVersion="5">
    <extLst>
      <ext xmlns:x15="http://schemas.microsoft.com/office/spreadsheetml/2010/11/main" uri="{DE250136-89BD-433C-8126-D09CA5730AF9}">
        <x15:connection id="TableName" autoDelete="1">
          <x15:rangePr sourceName="_xlcn.WorksheetConnection_InteractiveChartsandDashboards.xlsxTableName1"/>
        </x15:connection>
      </ext>
    </extLst>
  </connection>
  <connection id="3" name="WorksheetConnection_Interactive Charts and Dashboards.xlsx!TableVotes" type="102" refreshedVersion="6" minRefreshableVersion="5">
    <extLst>
      <ext xmlns:x15="http://schemas.microsoft.com/office/spreadsheetml/2010/11/main" uri="{DE250136-89BD-433C-8126-D09CA5730AF9}">
        <x15:connection id="TableVotes">
          <x15:rangePr sourceName="_xlcn.WorksheetConnection_InteractiveChartsandDashboards.xlsxTableVotes1"/>
        </x15:connection>
      </ext>
    </extLst>
  </connection>
</connections>
</file>

<file path=xl/sharedStrings.xml><?xml version="1.0" encoding="utf-8"?>
<sst xmlns="http://schemas.openxmlformats.org/spreadsheetml/2006/main" count="322" uniqueCount="88">
  <si>
    <t>ABC Metals</t>
  </si>
  <si>
    <t>Bay Area Recycling</t>
  </si>
  <si>
    <t>Benny Recycling</t>
  </si>
  <si>
    <t>Blue Metals &amp; Recycling</t>
  </si>
  <si>
    <t>California Traders</t>
  </si>
  <si>
    <t>City Recycling</t>
  </si>
  <si>
    <t>Easy Automotive Repair</t>
  </si>
  <si>
    <t>Golden State Metals</t>
  </si>
  <si>
    <t>Hal's Diecasting</t>
  </si>
  <si>
    <t>Marin Steel</t>
  </si>
  <si>
    <t>National Recycling</t>
  </si>
  <si>
    <t>Oakland Automotive</t>
  </si>
  <si>
    <t>Steel Recyclers</t>
  </si>
  <si>
    <t>Tom's Automotive Recycling</t>
  </si>
  <si>
    <t>US Metals</t>
  </si>
  <si>
    <t>Metal Type</t>
  </si>
  <si>
    <t>Item Type</t>
  </si>
  <si>
    <t>Company</t>
  </si>
  <si>
    <t>Date</t>
  </si>
  <si>
    <t>Amount in tons</t>
  </si>
  <si>
    <t>Revenue per ton</t>
  </si>
  <si>
    <t>Aluminum</t>
  </si>
  <si>
    <t>Can</t>
  </si>
  <si>
    <t>Nickel</t>
  </si>
  <si>
    <t>Coins</t>
  </si>
  <si>
    <t>Steel</t>
  </si>
  <si>
    <t>Hubcaps</t>
  </si>
  <si>
    <t>Construction Debris</t>
  </si>
  <si>
    <t>Tin</t>
  </si>
  <si>
    <t>Miscellaneous</t>
  </si>
  <si>
    <t>Leftover Building Material</t>
  </si>
  <si>
    <t>Brass</t>
  </si>
  <si>
    <t>Copper</t>
  </si>
  <si>
    <t>Wire</t>
  </si>
  <si>
    <t>Iron</t>
  </si>
  <si>
    <t>Bumpers</t>
  </si>
  <si>
    <t>Car</t>
  </si>
  <si>
    <t>Pipes</t>
  </si>
  <si>
    <t>Total</t>
  </si>
  <si>
    <t>Revenue by Metal Type</t>
  </si>
  <si>
    <t>Sold</t>
  </si>
  <si>
    <t>Amount</t>
  </si>
  <si>
    <t>Revenue</t>
  </si>
  <si>
    <t>Notes:</t>
  </si>
  <si>
    <t>Item</t>
  </si>
  <si>
    <t>per Ton</t>
  </si>
  <si>
    <t>Total Revenue</t>
  </si>
  <si>
    <t>% of</t>
  </si>
  <si>
    <t>1.</t>
  </si>
  <si>
    <t>Year</t>
  </si>
  <si>
    <t>Years</t>
  </si>
  <si>
    <t>Revenue by Item Type</t>
  </si>
  <si>
    <t>Revenue by Company</t>
  </si>
  <si>
    <t>Month</t>
  </si>
  <si>
    <t>January</t>
  </si>
  <si>
    <t>February</t>
  </si>
  <si>
    <t>March</t>
  </si>
  <si>
    <t>April</t>
  </si>
  <si>
    <t>May</t>
  </si>
  <si>
    <t>June</t>
  </si>
  <si>
    <t>July</t>
  </si>
  <si>
    <t>August</t>
  </si>
  <si>
    <t>September</t>
  </si>
  <si>
    <t>October</t>
  </si>
  <si>
    <t>November</t>
  </si>
  <si>
    <t>December</t>
  </si>
  <si>
    <t>Start</t>
  </si>
  <si>
    <t>End</t>
  </si>
  <si>
    <t>Incremental</t>
  </si>
  <si>
    <t>Cumulative</t>
  </si>
  <si>
    <t>Row Labels</t>
  </si>
  <si>
    <t>Grand Total</t>
  </si>
  <si>
    <t>Sum of Amount in tons</t>
  </si>
  <si>
    <t>Sum of Total Revenue</t>
  </si>
  <si>
    <t>2012</t>
  </si>
  <si>
    <t>2013</t>
  </si>
  <si>
    <t>2014</t>
  </si>
  <si>
    <t>Dec</t>
  </si>
  <si>
    <t>Feb</t>
  </si>
  <si>
    <t>Jan</t>
  </si>
  <si>
    <t>Mar</t>
  </si>
  <si>
    <t>Apr</t>
  </si>
  <si>
    <t>Jun</t>
  </si>
  <si>
    <t>Aug</t>
  </si>
  <si>
    <t>Sep</t>
  </si>
  <si>
    <t>Oct</t>
  </si>
  <si>
    <t>Nov</t>
  </si>
  <si>
    <t>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</si>
</sst>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5" formatCode="&quot;$&quot;#,##0_);\(&quot;$&quot;#,##0\)"/>
    <numFmt numFmtId="164" formatCode="0.0%"/>
  </numFmts>
  <fonts count="7" x14ac:knownFonts="1">
    <font>
      <sz val="11"/>
      <color theme="1"/>
      <name val="Calibri"/>
      <family val="2"/>
      <scheme val="minor"/>
    </font>
    <font>
      <b/>
      <sz val="11"/>
      <color theme="1"/>
      <name val="Calibri"/>
      <family val="2"/>
      <scheme val="minor"/>
    </font>
    <font>
      <b/>
      <u/>
      <sz val="11"/>
      <color theme="1"/>
      <name val="Calibri"/>
      <family val="2"/>
      <scheme val="minor"/>
    </font>
    <font>
      <u/>
      <sz val="11"/>
      <color theme="1"/>
      <name val="Calibri"/>
      <family val="2"/>
      <scheme val="minor"/>
    </font>
    <font>
      <b/>
      <i/>
      <sz val="11"/>
      <color theme="1"/>
      <name val="Calibri"/>
      <family val="2"/>
      <scheme val="minor"/>
    </font>
    <font>
      <sz val="11"/>
      <name val="Calibri"/>
      <family val="2"/>
      <scheme val="minor"/>
    </font>
    <font>
      <b/>
      <u/>
      <sz val="11"/>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24">
    <xf numFmtId="0" fontId="0" fillId="0" borderId="0" xfId="0"/>
    <xf numFmtId="0" fontId="2" fillId="0" borderId="0" xfId="0" applyFont="1"/>
    <xf numFmtId="14" fontId="2" fillId="0" borderId="0" xfId="0" applyNumberFormat="1" applyFont="1"/>
    <xf numFmtId="14" fontId="0" fillId="0" borderId="0" xfId="0" applyNumberFormat="1"/>
    <xf numFmtId="14" fontId="0" fillId="0" borderId="0" xfId="0" applyNumberFormat="1" applyFill="1"/>
    <xf numFmtId="0" fontId="0" fillId="0" borderId="1" xfId="0" applyBorder="1" applyAlignment="1">
      <alignment horizontal="centerContinuous"/>
    </xf>
    <xf numFmtId="0" fontId="0" fillId="0" borderId="0" xfId="0" applyAlignment="1">
      <alignment horizontal="centerContinuous"/>
    </xf>
    <xf numFmtId="0" fontId="0" fillId="0" borderId="0" xfId="0" quotePrefix="1"/>
    <xf numFmtId="0" fontId="0" fillId="0" borderId="0" xfId="0" applyAlignment="1">
      <alignment horizontal="center"/>
    </xf>
    <xf numFmtId="0" fontId="0" fillId="0" borderId="0" xfId="0" applyFont="1" applyAlignment="1">
      <alignment horizontal="center"/>
    </xf>
    <xf numFmtId="0" fontId="3" fillId="0" borderId="0" xfId="0" applyFont="1" applyAlignment="1">
      <alignment horizontal="center"/>
    </xf>
    <xf numFmtId="37" fontId="0" fillId="0" borderId="0" xfId="0" applyNumberFormat="1"/>
    <xf numFmtId="5" fontId="0" fillId="0" borderId="0" xfId="0" applyNumberFormat="1"/>
    <xf numFmtId="0" fontId="1" fillId="0" borderId="0" xfId="0" applyFont="1" applyAlignment="1">
      <alignment horizontal="centerContinuous"/>
    </xf>
    <xf numFmtId="0" fontId="2" fillId="0" borderId="0" xfId="0" applyFont="1" applyAlignment="1">
      <alignment horizontal="centerContinuous"/>
    </xf>
    <xf numFmtId="37" fontId="3" fillId="0" borderId="0" xfId="0" applyNumberFormat="1" applyFont="1"/>
    <xf numFmtId="0" fontId="3" fillId="0" borderId="0" xfId="0" applyFont="1"/>
    <xf numFmtId="164" fontId="0" fillId="0" borderId="0" xfId="0" applyNumberFormat="1"/>
    <xf numFmtId="0" fontId="4" fillId="0" borderId="0" xfId="0" applyFont="1"/>
    <xf numFmtId="0" fontId="5" fillId="0" borderId="0" xfId="0" applyFont="1"/>
    <xf numFmtId="0" fontId="6" fillId="0" borderId="0" xfId="0" applyFont="1"/>
    <xf numFmtId="0" fontId="0" fillId="0" borderId="0" xfId="0" pivotButton="1"/>
    <xf numFmtId="0" fontId="0" fillId="0" borderId="0" xfId="0" applyAlignment="1">
      <alignment horizontal="left"/>
    </xf>
    <xf numFmtId="14" fontId="0" fillId="0" borderId="0" xfId="0" applyNumberFormat="1" applyAlignment="1">
      <alignment horizontal="left" indent="1"/>
    </xf>
  </cellXfs>
  <cellStyles count="1">
    <cellStyle name="Normal" xfId="0" builtinId="0"/>
  </cellStyles>
  <dxfs count="12">
    <dxf>
      <numFmt numFmtId="5" formatCode="#,##0_);\(#,##0\)"/>
    </dxf>
    <dxf>
      <numFmt numFmtId="5" formatCode="#,##0_);\(#,##0\)"/>
    </dxf>
    <dxf>
      <numFmt numFmtId="5" formatCode="#,##0_);\(#,##0\)"/>
    </dxf>
    <dxf>
      <numFmt numFmtId="5" formatCode="#,##0_);\(#,##0\)"/>
    </dxf>
    <dxf>
      <numFmt numFmtId="5" formatCode="#,##0_);\(#,##0\)"/>
    </dxf>
    <dxf>
      <numFmt numFmtId="5" formatCode="#,##0_);\(#,##0\)"/>
    </dxf>
    <dxf>
      <numFmt numFmtId="5" formatCode="#,##0_);\(#,##0\)"/>
    </dxf>
    <dxf>
      <numFmt numFmtId="5" formatCode="#,##0_);\(#,##0\)"/>
    </dxf>
    <dxf>
      <numFmt numFmtId="5" formatCode="#,##0_);\(#,##0\)"/>
    </dxf>
    <dxf>
      <numFmt numFmtId="5" formatCode="#,##0_);\(#,##0\)"/>
    </dxf>
    <dxf>
      <numFmt numFmtId="5" formatCode="#,##0_);\(#,##0\)"/>
    </dxf>
    <dxf>
      <numFmt numFmtId="5" formatCode="#,##0_);\(#,##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theme" Target="theme/theme1.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1/relationships/timelineCache" Target="timelineCaches/timelineCache1.xml"/><Relationship Id="rId17" Type="http://schemas.openxmlformats.org/officeDocument/2006/relationships/powerPivotData" Target="model/item.data"/><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4.xml"/><Relationship Id="rId5" Type="http://schemas.openxmlformats.org/officeDocument/2006/relationships/worksheet" Target="worksheets/sheet5.xml"/><Relationship Id="rId15" Type="http://schemas.openxmlformats.org/officeDocument/2006/relationships/styles" Target="styles.xml"/><Relationship Id="rId10" Type="http://schemas.microsoft.com/office/2007/relationships/slicerCache" Target="slicerCaches/slicerCache3.xml"/><Relationship Id="rId4" Type="http://schemas.openxmlformats.org/officeDocument/2006/relationships/worksheet" Target="worksheets/sheet4.xml"/><Relationship Id="rId9" Type="http://schemas.microsoft.com/office/2007/relationships/slicerCache" Target="slicerCaches/slicerCache2.xml"/><Relationship Id="rId14" Type="http://schemas.openxmlformats.org/officeDocument/2006/relationships/connections" Target="connection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Metal Type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Amount Sold</c:v>
          </c:tx>
          <c:spPr>
            <a:solidFill>
              <a:schemeClr val="accent1"/>
            </a:solidFill>
            <a:ln>
              <a:noFill/>
            </a:ln>
            <a:effectLst/>
          </c:spPr>
          <c:invertIfNegative val="0"/>
          <c:cat>
            <c:strRef>
              <c:f>Report!$B$11:$B$17</c:f>
              <c:strCache>
                <c:ptCount val="7"/>
                <c:pt idx="0">
                  <c:v>Aluminum</c:v>
                </c:pt>
                <c:pt idx="1">
                  <c:v>Brass</c:v>
                </c:pt>
                <c:pt idx="2">
                  <c:v>Copper</c:v>
                </c:pt>
                <c:pt idx="3">
                  <c:v>Iron</c:v>
                </c:pt>
                <c:pt idx="4">
                  <c:v>Nickel</c:v>
                </c:pt>
                <c:pt idx="5">
                  <c:v>Steel</c:v>
                </c:pt>
                <c:pt idx="6">
                  <c:v>Tin</c:v>
                </c:pt>
              </c:strCache>
            </c:strRef>
          </c:cat>
          <c:val>
            <c:numRef>
              <c:f>Report!$C$11:$C$17</c:f>
              <c:numCache>
                <c:formatCode>#,##0_);\(#,##0\)</c:formatCode>
                <c:ptCount val="7"/>
                <c:pt idx="0">
                  <c:v>138</c:v>
                </c:pt>
                <c:pt idx="1">
                  <c:v>22</c:v>
                </c:pt>
                <c:pt idx="2">
                  <c:v>54</c:v>
                </c:pt>
                <c:pt idx="3">
                  <c:v>44</c:v>
                </c:pt>
                <c:pt idx="4">
                  <c:v>50</c:v>
                </c:pt>
                <c:pt idx="5">
                  <c:v>190</c:v>
                </c:pt>
                <c:pt idx="6">
                  <c:v>36</c:v>
                </c:pt>
              </c:numCache>
            </c:numRef>
          </c:val>
          <c:extLst>
            <c:ext xmlns:c16="http://schemas.microsoft.com/office/drawing/2014/chart" uri="{C3380CC4-5D6E-409C-BE32-E72D297353CC}">
              <c16:uniqueId val="{00000000-2F00-42EF-8F4C-6CC9CBB77B81}"/>
            </c:ext>
          </c:extLst>
        </c:ser>
        <c:dLbls>
          <c:showLegendKey val="0"/>
          <c:showVal val="0"/>
          <c:showCatName val="0"/>
          <c:showSerName val="0"/>
          <c:showPercent val="0"/>
          <c:showBubbleSize val="0"/>
        </c:dLbls>
        <c:gapWidth val="219"/>
        <c:overlap val="-27"/>
        <c:axId val="209369504"/>
        <c:axId val="209370064"/>
      </c:barChart>
      <c:scatterChart>
        <c:scatterStyle val="lineMarker"/>
        <c:varyColors val="0"/>
        <c:ser>
          <c:idx val="1"/>
          <c:order val="1"/>
          <c:tx>
            <c:v>% of Total Revenue</c:v>
          </c:tx>
          <c:spPr>
            <a:ln w="25400" cap="rnd">
              <a:noFill/>
              <a:round/>
            </a:ln>
            <a:effectLst/>
          </c:spPr>
          <c:marker>
            <c:symbol val="circle"/>
            <c:size val="5"/>
            <c:spPr>
              <a:solidFill>
                <a:schemeClr val="accent2"/>
              </a:solidFill>
              <a:ln w="25400">
                <a:solidFill>
                  <a:schemeClr val="accent2"/>
                </a:solidFill>
              </a:ln>
              <a:effectLst/>
            </c:spPr>
          </c:marker>
          <c:yVal>
            <c:numRef>
              <c:f>Report!$F$11:$F$17</c:f>
              <c:numCache>
                <c:formatCode>0.0%</c:formatCode>
                <c:ptCount val="7"/>
                <c:pt idx="0">
                  <c:v>0.36417505092278252</c:v>
                </c:pt>
                <c:pt idx="1">
                  <c:v>2.1727053885562619E-2</c:v>
                </c:pt>
                <c:pt idx="2">
                  <c:v>7.0859823467687183E-2</c:v>
                </c:pt>
                <c:pt idx="3">
                  <c:v>3.1047466205789766E-2</c:v>
                </c:pt>
                <c:pt idx="4">
                  <c:v>0.11554842293685574</c:v>
                </c:pt>
                <c:pt idx="5">
                  <c:v>0.33059687673600396</c:v>
                </c:pt>
                <c:pt idx="6">
                  <c:v>6.6045305845318189E-2</c:v>
                </c:pt>
              </c:numCache>
            </c:numRef>
          </c:yVal>
          <c:smooth val="0"/>
          <c:extLst>
            <c:ext xmlns:c16="http://schemas.microsoft.com/office/drawing/2014/chart" uri="{C3380CC4-5D6E-409C-BE32-E72D297353CC}">
              <c16:uniqueId val="{00000001-2F00-42EF-8F4C-6CC9CBB77B81}"/>
            </c:ext>
          </c:extLst>
        </c:ser>
        <c:dLbls>
          <c:showLegendKey val="0"/>
          <c:showVal val="0"/>
          <c:showCatName val="0"/>
          <c:showSerName val="0"/>
          <c:showPercent val="0"/>
          <c:showBubbleSize val="0"/>
        </c:dLbls>
        <c:axId val="326547424"/>
        <c:axId val="209370624"/>
      </c:scatterChart>
      <c:catAx>
        <c:axId val="209369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370064"/>
        <c:crosses val="autoZero"/>
        <c:auto val="1"/>
        <c:lblAlgn val="ctr"/>
        <c:lblOffset val="100"/>
        <c:noMultiLvlLbl val="0"/>
      </c:catAx>
      <c:valAx>
        <c:axId val="209370064"/>
        <c:scaling>
          <c:orientation val="minMax"/>
        </c:scaling>
        <c:delete val="0"/>
        <c:axPos val="l"/>
        <c:majorGridlines>
          <c:spPr>
            <a:ln w="9525" cap="flat" cmpd="sng" algn="ctr">
              <a:solidFill>
                <a:schemeClr val="tx1">
                  <a:lumMod val="15000"/>
                  <a:lumOff val="85000"/>
                </a:schemeClr>
              </a:solidFill>
              <a:round/>
            </a:ln>
            <a:effectLst/>
          </c:spPr>
        </c:majorGridlines>
        <c:numFmt formatCode="#,##0_);\(#,##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369504"/>
        <c:crosses val="autoZero"/>
        <c:crossBetween val="between"/>
      </c:valAx>
      <c:valAx>
        <c:axId val="209370624"/>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6547424"/>
        <c:crosses val="max"/>
        <c:crossBetween val="midCat"/>
      </c:valAx>
      <c:valAx>
        <c:axId val="326547424"/>
        <c:scaling>
          <c:orientation val="minMax"/>
        </c:scaling>
        <c:delete val="1"/>
        <c:axPos val="b"/>
        <c:majorTickMark val="out"/>
        <c:minorTickMark val="none"/>
        <c:tickLblPos val="nextTo"/>
        <c:crossAx val="20937062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Item Type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Amount Sold</c:v>
          </c:tx>
          <c:spPr>
            <a:solidFill>
              <a:schemeClr val="accent1"/>
            </a:solidFill>
            <a:ln>
              <a:noFill/>
            </a:ln>
            <a:effectLst/>
          </c:spPr>
          <c:invertIfNegative val="0"/>
          <c:cat>
            <c:strRef>
              <c:f>Report!$I$11:$I$20</c:f>
              <c:strCache>
                <c:ptCount val="10"/>
                <c:pt idx="0">
                  <c:v>Bumpers</c:v>
                </c:pt>
                <c:pt idx="1">
                  <c:v>Can</c:v>
                </c:pt>
                <c:pt idx="2">
                  <c:v>Car</c:v>
                </c:pt>
                <c:pt idx="3">
                  <c:v>Coins</c:v>
                </c:pt>
                <c:pt idx="4">
                  <c:v>Construction Debris</c:v>
                </c:pt>
                <c:pt idx="5">
                  <c:v>Hubcaps</c:v>
                </c:pt>
                <c:pt idx="6">
                  <c:v>Leftover Building Material</c:v>
                </c:pt>
                <c:pt idx="7">
                  <c:v>Miscellaneous</c:v>
                </c:pt>
                <c:pt idx="8">
                  <c:v>Pipes</c:v>
                </c:pt>
                <c:pt idx="9">
                  <c:v>Wire</c:v>
                </c:pt>
              </c:strCache>
            </c:strRef>
          </c:cat>
          <c:val>
            <c:numRef>
              <c:f>Report!$J$11:$J$20</c:f>
              <c:numCache>
                <c:formatCode>#,##0_);\(#,##0\)</c:formatCode>
                <c:ptCount val="10"/>
                <c:pt idx="0">
                  <c:v>68</c:v>
                </c:pt>
                <c:pt idx="1">
                  <c:v>56</c:v>
                </c:pt>
                <c:pt idx="2">
                  <c:v>42</c:v>
                </c:pt>
                <c:pt idx="3">
                  <c:v>49</c:v>
                </c:pt>
                <c:pt idx="4">
                  <c:v>119</c:v>
                </c:pt>
                <c:pt idx="5">
                  <c:v>28</c:v>
                </c:pt>
                <c:pt idx="6">
                  <c:v>44</c:v>
                </c:pt>
                <c:pt idx="7">
                  <c:v>62</c:v>
                </c:pt>
                <c:pt idx="8">
                  <c:v>40</c:v>
                </c:pt>
                <c:pt idx="9">
                  <c:v>26</c:v>
                </c:pt>
              </c:numCache>
            </c:numRef>
          </c:val>
          <c:extLst>
            <c:ext xmlns:c16="http://schemas.microsoft.com/office/drawing/2014/chart" uri="{C3380CC4-5D6E-409C-BE32-E72D297353CC}">
              <c16:uniqueId val="{00000000-1BE5-411E-802D-BFECD0C524DB}"/>
            </c:ext>
          </c:extLst>
        </c:ser>
        <c:dLbls>
          <c:showLegendKey val="0"/>
          <c:showVal val="0"/>
          <c:showCatName val="0"/>
          <c:showSerName val="0"/>
          <c:showPercent val="0"/>
          <c:showBubbleSize val="0"/>
        </c:dLbls>
        <c:gapWidth val="219"/>
        <c:overlap val="-27"/>
        <c:axId val="209369504"/>
        <c:axId val="209370064"/>
      </c:barChart>
      <c:scatterChart>
        <c:scatterStyle val="lineMarker"/>
        <c:varyColors val="0"/>
        <c:ser>
          <c:idx val="1"/>
          <c:order val="1"/>
          <c:tx>
            <c:v>% of Total Revenue</c:v>
          </c:tx>
          <c:spPr>
            <a:ln w="25400" cap="rnd">
              <a:noFill/>
              <a:round/>
            </a:ln>
            <a:effectLst/>
          </c:spPr>
          <c:marker>
            <c:symbol val="circle"/>
            <c:size val="5"/>
            <c:spPr>
              <a:solidFill>
                <a:schemeClr val="accent2"/>
              </a:solidFill>
              <a:ln w="25400">
                <a:solidFill>
                  <a:schemeClr val="accent2"/>
                </a:solidFill>
              </a:ln>
              <a:effectLst/>
            </c:spPr>
          </c:marker>
          <c:yVal>
            <c:numRef>
              <c:f>Report!$M$11:$M$20</c:f>
              <c:numCache>
                <c:formatCode>0.0%</c:formatCode>
                <c:ptCount val="10"/>
                <c:pt idx="0">
                  <c:v>0.10919079069193259</c:v>
                </c:pt>
                <c:pt idx="1">
                  <c:v>0.1219060551817789</c:v>
                </c:pt>
                <c:pt idx="2">
                  <c:v>0.11925189803098574</c:v>
                </c:pt>
                <c:pt idx="3">
                  <c:v>0.11449910499351892</c:v>
                </c:pt>
                <c:pt idx="4">
                  <c:v>0.24949077217455712</c:v>
                </c:pt>
                <c:pt idx="5">
                  <c:v>5.5305228072341214E-2</c:v>
                </c:pt>
                <c:pt idx="6">
                  <c:v>8.1476452070859823E-2</c:v>
                </c:pt>
                <c:pt idx="7">
                  <c:v>7.9007468674773165E-2</c:v>
                </c:pt>
                <c:pt idx="8">
                  <c:v>5.4317634713906549E-2</c:v>
                </c:pt>
                <c:pt idx="9">
                  <c:v>1.5554595395345967E-2</c:v>
                </c:pt>
              </c:numCache>
            </c:numRef>
          </c:yVal>
          <c:smooth val="0"/>
          <c:extLst>
            <c:ext xmlns:c16="http://schemas.microsoft.com/office/drawing/2014/chart" uri="{C3380CC4-5D6E-409C-BE32-E72D297353CC}">
              <c16:uniqueId val="{00000001-1BE5-411E-802D-BFECD0C524DB}"/>
            </c:ext>
          </c:extLst>
        </c:ser>
        <c:dLbls>
          <c:showLegendKey val="0"/>
          <c:showVal val="0"/>
          <c:showCatName val="0"/>
          <c:showSerName val="0"/>
          <c:showPercent val="0"/>
          <c:showBubbleSize val="0"/>
        </c:dLbls>
        <c:axId val="326547424"/>
        <c:axId val="209370624"/>
      </c:scatterChart>
      <c:catAx>
        <c:axId val="209369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370064"/>
        <c:crosses val="autoZero"/>
        <c:auto val="1"/>
        <c:lblAlgn val="ctr"/>
        <c:lblOffset val="100"/>
        <c:noMultiLvlLbl val="0"/>
      </c:catAx>
      <c:valAx>
        <c:axId val="209370064"/>
        <c:scaling>
          <c:orientation val="minMax"/>
        </c:scaling>
        <c:delete val="0"/>
        <c:axPos val="l"/>
        <c:majorGridlines>
          <c:spPr>
            <a:ln w="9525" cap="flat" cmpd="sng" algn="ctr">
              <a:solidFill>
                <a:schemeClr val="tx1">
                  <a:lumMod val="15000"/>
                  <a:lumOff val="85000"/>
                </a:schemeClr>
              </a:solidFill>
              <a:round/>
            </a:ln>
            <a:effectLst/>
          </c:spPr>
        </c:majorGridlines>
        <c:numFmt formatCode="#,##0_);\(#,##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369504"/>
        <c:crosses val="autoZero"/>
        <c:crossBetween val="between"/>
        <c:majorUnit val="10"/>
      </c:valAx>
      <c:valAx>
        <c:axId val="209370624"/>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6547424"/>
        <c:crosses val="max"/>
        <c:crossBetween val="midCat"/>
        <c:majorUnit val="0.2"/>
      </c:valAx>
      <c:valAx>
        <c:axId val="326547424"/>
        <c:scaling>
          <c:orientation val="minMax"/>
        </c:scaling>
        <c:delete val="1"/>
        <c:axPos val="b"/>
        <c:majorTickMark val="out"/>
        <c:minorTickMark val="none"/>
        <c:tickLblPos val="nextTo"/>
        <c:crossAx val="20937062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Company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v>Amount Sold</c:v>
          </c:tx>
          <c:spPr>
            <a:solidFill>
              <a:schemeClr val="accent1"/>
            </a:solidFill>
            <a:ln>
              <a:noFill/>
            </a:ln>
            <a:effectLst/>
          </c:spPr>
          <c:invertIfNegative val="0"/>
          <c:cat>
            <c:strRef>
              <c:f>Report!$P$11:$P$25</c:f>
              <c:strCache>
                <c:ptCount val="15"/>
                <c:pt idx="0">
                  <c:v>ABC Metals</c:v>
                </c:pt>
                <c:pt idx="1">
                  <c:v>Bay Area Recycling</c:v>
                </c:pt>
                <c:pt idx="2">
                  <c:v>Benny Recycling</c:v>
                </c:pt>
                <c:pt idx="3">
                  <c:v>Blue Metals &amp; Recycling</c:v>
                </c:pt>
                <c:pt idx="4">
                  <c:v>California Traders</c:v>
                </c:pt>
                <c:pt idx="5">
                  <c:v>City Recycling</c:v>
                </c:pt>
                <c:pt idx="6">
                  <c:v>Easy Automotive Repair</c:v>
                </c:pt>
                <c:pt idx="7">
                  <c:v>Golden State Metals</c:v>
                </c:pt>
                <c:pt idx="8">
                  <c:v>Hal's Diecasting</c:v>
                </c:pt>
                <c:pt idx="9">
                  <c:v>Marin Steel</c:v>
                </c:pt>
                <c:pt idx="10">
                  <c:v>National Recycling</c:v>
                </c:pt>
                <c:pt idx="11">
                  <c:v>Oakland Automotive</c:v>
                </c:pt>
                <c:pt idx="12">
                  <c:v>Steel Recyclers</c:v>
                </c:pt>
                <c:pt idx="13">
                  <c:v>Tom's Automotive Recycling</c:v>
                </c:pt>
                <c:pt idx="14">
                  <c:v>US Metals</c:v>
                </c:pt>
              </c:strCache>
            </c:strRef>
          </c:cat>
          <c:val>
            <c:numRef>
              <c:f>Report!$Q$11:$Q$25</c:f>
              <c:numCache>
                <c:formatCode>#,##0_);\(#,##0\)</c:formatCode>
                <c:ptCount val="15"/>
                <c:pt idx="0">
                  <c:v>26</c:v>
                </c:pt>
                <c:pt idx="1">
                  <c:v>32</c:v>
                </c:pt>
                <c:pt idx="2">
                  <c:v>25</c:v>
                </c:pt>
                <c:pt idx="3">
                  <c:v>0</c:v>
                </c:pt>
                <c:pt idx="4">
                  <c:v>35</c:v>
                </c:pt>
                <c:pt idx="5">
                  <c:v>77</c:v>
                </c:pt>
                <c:pt idx="6">
                  <c:v>33</c:v>
                </c:pt>
                <c:pt idx="7">
                  <c:v>52</c:v>
                </c:pt>
                <c:pt idx="8">
                  <c:v>30</c:v>
                </c:pt>
                <c:pt idx="9">
                  <c:v>50</c:v>
                </c:pt>
                <c:pt idx="10">
                  <c:v>35</c:v>
                </c:pt>
                <c:pt idx="11">
                  <c:v>45</c:v>
                </c:pt>
                <c:pt idx="12">
                  <c:v>47</c:v>
                </c:pt>
                <c:pt idx="13">
                  <c:v>42</c:v>
                </c:pt>
                <c:pt idx="14">
                  <c:v>5</c:v>
                </c:pt>
              </c:numCache>
            </c:numRef>
          </c:val>
          <c:extLst>
            <c:ext xmlns:c16="http://schemas.microsoft.com/office/drawing/2014/chart" uri="{C3380CC4-5D6E-409C-BE32-E72D297353CC}">
              <c16:uniqueId val="{00000000-D398-4A75-B670-9A043E4BD6A9}"/>
            </c:ext>
          </c:extLst>
        </c:ser>
        <c:dLbls>
          <c:showLegendKey val="0"/>
          <c:showVal val="0"/>
          <c:showCatName val="0"/>
          <c:showSerName val="0"/>
          <c:showPercent val="0"/>
          <c:showBubbleSize val="0"/>
        </c:dLbls>
        <c:gapWidth val="219"/>
        <c:overlap val="-27"/>
        <c:axId val="209369504"/>
        <c:axId val="209370064"/>
      </c:barChart>
      <c:scatterChart>
        <c:scatterStyle val="lineMarker"/>
        <c:varyColors val="0"/>
        <c:ser>
          <c:idx val="1"/>
          <c:order val="1"/>
          <c:tx>
            <c:v>% of Total Revenue</c:v>
          </c:tx>
          <c:spPr>
            <a:ln w="25400" cap="rnd">
              <a:noFill/>
              <a:round/>
            </a:ln>
            <a:effectLst/>
          </c:spPr>
          <c:marker>
            <c:symbol val="circle"/>
            <c:size val="5"/>
            <c:spPr>
              <a:solidFill>
                <a:schemeClr val="accent2"/>
              </a:solidFill>
              <a:ln w="25400">
                <a:solidFill>
                  <a:schemeClr val="accent2"/>
                </a:solidFill>
              </a:ln>
              <a:effectLst/>
            </c:spPr>
          </c:marker>
          <c:yVal>
            <c:numRef>
              <c:f>Report!$T$11:$T$25</c:f>
              <c:numCache>
                <c:formatCode>0.0%</c:formatCode>
                <c:ptCount val="15"/>
                <c:pt idx="0">
                  <c:v>1.5554595395345967E-2</c:v>
                </c:pt>
                <c:pt idx="1">
                  <c:v>9.8759335843466453E-2</c:v>
                </c:pt>
                <c:pt idx="2">
                  <c:v>6.1724584902166535E-2</c:v>
                </c:pt>
                <c:pt idx="3">
                  <c:v>0</c:v>
                </c:pt>
                <c:pt idx="4">
                  <c:v>2.1603604715758288E-2</c:v>
                </c:pt>
                <c:pt idx="5">
                  <c:v>0.18128510585766311</c:v>
                </c:pt>
                <c:pt idx="6">
                  <c:v>8.7587185976174306E-2</c:v>
                </c:pt>
                <c:pt idx="7">
                  <c:v>9.1352385655206467E-2</c:v>
                </c:pt>
                <c:pt idx="8">
                  <c:v>1.1110425282389976E-2</c:v>
                </c:pt>
                <c:pt idx="9">
                  <c:v>7.7032281957903834E-2</c:v>
                </c:pt>
                <c:pt idx="10">
                  <c:v>8.0735757052033827E-2</c:v>
                </c:pt>
                <c:pt idx="11">
                  <c:v>5.8329732732547372E-2</c:v>
                </c:pt>
                <c:pt idx="12">
                  <c:v>7.7464354052218992E-2</c:v>
                </c:pt>
                <c:pt idx="13">
                  <c:v>0.11925189803098574</c:v>
                </c:pt>
                <c:pt idx="14">
                  <c:v>1.8208752546139129E-2</c:v>
                </c:pt>
              </c:numCache>
            </c:numRef>
          </c:yVal>
          <c:smooth val="0"/>
          <c:extLst>
            <c:ext xmlns:c16="http://schemas.microsoft.com/office/drawing/2014/chart" uri="{C3380CC4-5D6E-409C-BE32-E72D297353CC}">
              <c16:uniqueId val="{00000001-D398-4A75-B670-9A043E4BD6A9}"/>
            </c:ext>
          </c:extLst>
        </c:ser>
        <c:dLbls>
          <c:showLegendKey val="0"/>
          <c:showVal val="0"/>
          <c:showCatName val="0"/>
          <c:showSerName val="0"/>
          <c:showPercent val="0"/>
          <c:showBubbleSize val="0"/>
        </c:dLbls>
        <c:axId val="326547424"/>
        <c:axId val="209370624"/>
      </c:scatterChart>
      <c:catAx>
        <c:axId val="2093695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370064"/>
        <c:crosses val="autoZero"/>
        <c:auto val="1"/>
        <c:lblAlgn val="ctr"/>
        <c:lblOffset val="100"/>
        <c:noMultiLvlLbl val="0"/>
      </c:catAx>
      <c:valAx>
        <c:axId val="209370064"/>
        <c:scaling>
          <c:orientation val="minMax"/>
        </c:scaling>
        <c:delete val="0"/>
        <c:axPos val="l"/>
        <c:majorGridlines>
          <c:spPr>
            <a:ln w="9525" cap="flat" cmpd="sng" algn="ctr">
              <a:solidFill>
                <a:schemeClr val="tx1">
                  <a:lumMod val="15000"/>
                  <a:lumOff val="85000"/>
                </a:schemeClr>
              </a:solidFill>
              <a:round/>
            </a:ln>
            <a:effectLst/>
          </c:spPr>
        </c:majorGridlines>
        <c:numFmt formatCode="#,##0_);\(#,##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9369504"/>
        <c:crosses val="autoZero"/>
        <c:crossBetween val="between"/>
        <c:majorUnit val="10"/>
      </c:valAx>
      <c:valAx>
        <c:axId val="209370624"/>
        <c:scaling>
          <c:orientation val="minMax"/>
        </c:scaling>
        <c:delete val="0"/>
        <c:axPos val="r"/>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6547424"/>
        <c:crosses val="max"/>
        <c:crossBetween val="midCat"/>
        <c:majorUnit val="0.2"/>
      </c:valAx>
      <c:valAx>
        <c:axId val="326547424"/>
        <c:scaling>
          <c:orientation val="minMax"/>
        </c:scaling>
        <c:delete val="1"/>
        <c:axPos val="b"/>
        <c:majorTickMark val="out"/>
        <c:minorTickMark val="none"/>
        <c:tickLblPos val="nextTo"/>
        <c:crossAx val="20937062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Amount Sold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strRef>
              <c:f>Report!$W$11:$W$22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Report!$Z$11:$Z$22</c:f>
              <c:numCache>
                <c:formatCode>#,##0_);\(#,##0\)</c:formatCode>
                <c:ptCount val="12"/>
                <c:pt idx="0">
                  <c:v>115</c:v>
                </c:pt>
                <c:pt idx="1">
                  <c:v>124</c:v>
                </c:pt>
                <c:pt idx="2">
                  <c:v>180</c:v>
                </c:pt>
                <c:pt idx="3">
                  <c:v>206</c:v>
                </c:pt>
                <c:pt idx="4">
                  <c:v>240</c:v>
                </c:pt>
                <c:pt idx="5">
                  <c:v>271</c:v>
                </c:pt>
                <c:pt idx="6">
                  <c:v>271</c:v>
                </c:pt>
                <c:pt idx="7">
                  <c:v>343</c:v>
                </c:pt>
                <c:pt idx="8">
                  <c:v>418</c:v>
                </c:pt>
                <c:pt idx="9">
                  <c:v>423</c:v>
                </c:pt>
                <c:pt idx="10">
                  <c:v>512</c:v>
                </c:pt>
                <c:pt idx="11">
                  <c:v>534</c:v>
                </c:pt>
              </c:numCache>
            </c:numRef>
          </c:val>
          <c:smooth val="0"/>
          <c:extLst>
            <c:ext xmlns:c16="http://schemas.microsoft.com/office/drawing/2014/chart" uri="{C3380CC4-5D6E-409C-BE32-E72D297353CC}">
              <c16:uniqueId val="{00000000-765C-47D4-A84D-C286901C30DA}"/>
            </c:ext>
          </c:extLst>
        </c:ser>
        <c:dLbls>
          <c:showLegendKey val="0"/>
          <c:showVal val="0"/>
          <c:showCatName val="0"/>
          <c:showSerName val="0"/>
          <c:showPercent val="0"/>
          <c:showBubbleSize val="0"/>
        </c:dLbls>
        <c:smooth val="0"/>
        <c:axId val="684906512"/>
        <c:axId val="684903888"/>
      </c:lineChart>
      <c:catAx>
        <c:axId val="6849065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903888"/>
        <c:crosses val="autoZero"/>
        <c:auto val="1"/>
        <c:lblAlgn val="ctr"/>
        <c:lblOffset val="100"/>
        <c:noMultiLvlLbl val="0"/>
      </c:catAx>
      <c:valAx>
        <c:axId val="684903888"/>
        <c:scaling>
          <c:orientation val="minMax"/>
        </c:scaling>
        <c:delete val="0"/>
        <c:axPos val="l"/>
        <c:majorGridlines>
          <c:spPr>
            <a:ln w="9525" cap="flat" cmpd="sng" algn="ctr">
              <a:solidFill>
                <a:schemeClr val="tx1">
                  <a:lumMod val="15000"/>
                  <a:lumOff val="85000"/>
                </a:schemeClr>
              </a:solidFill>
              <a:round/>
            </a:ln>
            <a:effectLst/>
          </c:spPr>
        </c:majorGridlines>
        <c:numFmt formatCode="#,##0_);\(#,##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849065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Revenue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strRef>
              <c:f>Report!$W$11:$W$22</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Report!$AA$11:$AA$22</c:f>
              <c:numCache>
                <c:formatCode>#,##0_);\(#,##0\)</c:formatCode>
                <c:ptCount val="12"/>
                <c:pt idx="0" formatCode="&quot;$&quot;#,##0_);\(&quot;$&quot;#,##0\)">
                  <c:v>4891</c:v>
                </c:pt>
                <c:pt idx="1">
                  <c:v>5791</c:v>
                </c:pt>
                <c:pt idx="2">
                  <c:v>7767</c:v>
                </c:pt>
                <c:pt idx="3">
                  <c:v>8019</c:v>
                </c:pt>
                <c:pt idx="4">
                  <c:v>9172</c:v>
                </c:pt>
                <c:pt idx="5">
                  <c:v>9947</c:v>
                </c:pt>
                <c:pt idx="6">
                  <c:v>9947</c:v>
                </c:pt>
                <c:pt idx="7">
                  <c:v>12059</c:v>
                </c:pt>
                <c:pt idx="8">
                  <c:v>13289</c:v>
                </c:pt>
                <c:pt idx="9">
                  <c:v>13584</c:v>
                </c:pt>
                <c:pt idx="10">
                  <c:v>15849</c:v>
                </c:pt>
                <c:pt idx="11">
                  <c:v>16201</c:v>
                </c:pt>
              </c:numCache>
            </c:numRef>
          </c:val>
          <c:smooth val="0"/>
          <c:extLst>
            <c:ext xmlns:c16="http://schemas.microsoft.com/office/drawing/2014/chart" uri="{C3380CC4-5D6E-409C-BE32-E72D297353CC}">
              <c16:uniqueId val="{00000000-BE3A-41D8-B5D5-9A2202AC0FA5}"/>
            </c:ext>
          </c:extLst>
        </c:ser>
        <c:dLbls>
          <c:showLegendKey val="0"/>
          <c:showVal val="0"/>
          <c:showCatName val="0"/>
          <c:showSerName val="0"/>
          <c:showPercent val="0"/>
          <c:showBubbleSize val="0"/>
        </c:dLbls>
        <c:smooth val="0"/>
        <c:axId val="552382072"/>
        <c:axId val="552386008"/>
      </c:lineChart>
      <c:catAx>
        <c:axId val="552382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2386008"/>
        <c:crosses val="autoZero"/>
        <c:auto val="1"/>
        <c:lblAlgn val="ctr"/>
        <c:lblOffset val="100"/>
        <c:noMultiLvlLbl val="0"/>
      </c:catAx>
      <c:valAx>
        <c:axId val="55238600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_);\(&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523820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[Interactive Charts and Dashboards.xlsx]Pivot-Amt in Tons_Total Rev!PivotTable8</c:name>
    <c:fmtId val="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Amount in Tons</a:t>
            </a:r>
            <a:r>
              <a:rPr lang="en-US" baseline="0"/>
              <a:t> and Total Revenue</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pPr>
            <a:solidFill>
              <a:schemeClr val="accent1"/>
            </a:solidFill>
            <a:ln w="9525">
              <a:solidFill>
                <a:schemeClr val="accent1"/>
              </a:solidFill>
            </a:ln>
            <a:effectLst/>
          </c:spPr>
        </c:marker>
      </c:pivotFmt>
      <c:pivotFmt>
        <c:idx val="2"/>
        <c:spPr>
          <a:solidFill>
            <a:schemeClr val="accent1"/>
          </a:solidFill>
          <a:ln w="28575" cap="rnd">
            <a:solidFill>
              <a:schemeClr val="accent1"/>
            </a:solidFill>
            <a:round/>
          </a:ln>
          <a:effectLst/>
        </c:spPr>
      </c:pivotFmt>
      <c:pivotFmt>
        <c:idx val="3"/>
        <c:spPr>
          <a:solidFill>
            <a:schemeClr val="accent1"/>
          </a:solidFill>
          <a:ln>
            <a:noFill/>
          </a:ln>
          <a:effectLst/>
        </c:spPr>
        <c:marker>
          <c:symbol val="none"/>
        </c:marker>
      </c:pivotFmt>
      <c:pivotFmt>
        <c:idx val="4"/>
        <c:spPr>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s>
    <c:plotArea>
      <c:layout/>
      <c:barChart>
        <c:barDir val="col"/>
        <c:grouping val="clustered"/>
        <c:varyColors val="0"/>
        <c:ser>
          <c:idx val="0"/>
          <c:order val="0"/>
          <c:tx>
            <c:strRef>
              <c:f>'Pivot-Amt in Tons_Total Rev'!$B$1</c:f>
              <c:strCache>
                <c:ptCount val="1"/>
                <c:pt idx="0">
                  <c:v>Sum of Amount in tons</c:v>
                </c:pt>
              </c:strCache>
            </c:strRef>
          </c:tx>
          <c:spPr>
            <a:solidFill>
              <a:schemeClr val="accent1"/>
            </a:solidFill>
            <a:ln>
              <a:noFill/>
            </a:ln>
            <a:effectLst/>
          </c:spPr>
          <c:invertIfNegative val="0"/>
          <c:cat>
            <c:strRef>
              <c:f>'Pivot-Amt in Tons_Total Rev'!$A$2:$A$9</c:f>
              <c:strCache>
                <c:ptCount val="7"/>
                <c:pt idx="0">
                  <c:v>Aluminum</c:v>
                </c:pt>
                <c:pt idx="1">
                  <c:v>Brass</c:v>
                </c:pt>
                <c:pt idx="2">
                  <c:v>Copper</c:v>
                </c:pt>
                <c:pt idx="3">
                  <c:v>Iron</c:v>
                </c:pt>
                <c:pt idx="4">
                  <c:v>Nickel</c:v>
                </c:pt>
                <c:pt idx="5">
                  <c:v>Steel</c:v>
                </c:pt>
                <c:pt idx="6">
                  <c:v>Tin</c:v>
                </c:pt>
              </c:strCache>
            </c:strRef>
          </c:cat>
          <c:val>
            <c:numRef>
              <c:f>'Pivot-Amt in Tons_Total Rev'!$B$2:$B$9</c:f>
              <c:numCache>
                <c:formatCode>#,##0_);\(#,##0\)</c:formatCode>
                <c:ptCount val="7"/>
                <c:pt idx="0">
                  <c:v>293</c:v>
                </c:pt>
                <c:pt idx="1">
                  <c:v>40</c:v>
                </c:pt>
                <c:pt idx="2">
                  <c:v>149</c:v>
                </c:pt>
                <c:pt idx="3">
                  <c:v>164</c:v>
                </c:pt>
                <c:pt idx="4">
                  <c:v>110</c:v>
                </c:pt>
                <c:pt idx="5">
                  <c:v>432</c:v>
                </c:pt>
                <c:pt idx="6">
                  <c:v>68</c:v>
                </c:pt>
              </c:numCache>
            </c:numRef>
          </c:val>
          <c:extLst>
            <c:ext xmlns:c16="http://schemas.microsoft.com/office/drawing/2014/chart" uri="{C3380CC4-5D6E-409C-BE32-E72D297353CC}">
              <c16:uniqueId val="{00000000-DC92-434B-943F-1C6DF6FBB6F4}"/>
            </c:ext>
          </c:extLst>
        </c:ser>
        <c:dLbls>
          <c:showLegendKey val="0"/>
          <c:showVal val="0"/>
          <c:showCatName val="0"/>
          <c:showSerName val="0"/>
          <c:showPercent val="0"/>
          <c:showBubbleSize val="0"/>
        </c:dLbls>
        <c:gapWidth val="219"/>
        <c:overlap val="-27"/>
        <c:axId val="888684608"/>
        <c:axId val="888684936"/>
      </c:barChart>
      <c:lineChart>
        <c:grouping val="stacked"/>
        <c:varyColors val="0"/>
        <c:ser>
          <c:idx val="1"/>
          <c:order val="1"/>
          <c:tx>
            <c:strRef>
              <c:f>'Pivot-Amt in Tons_Total Rev'!$C$1</c:f>
              <c:strCache>
                <c:ptCount val="1"/>
                <c:pt idx="0">
                  <c:v>Sum of Total Revenue</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'Pivot-Amt in Tons_Total Rev'!$A$2:$A$9</c:f>
              <c:strCache>
                <c:ptCount val="7"/>
                <c:pt idx="0">
                  <c:v>Aluminum</c:v>
                </c:pt>
                <c:pt idx="1">
                  <c:v>Brass</c:v>
                </c:pt>
                <c:pt idx="2">
                  <c:v>Copper</c:v>
                </c:pt>
                <c:pt idx="3">
                  <c:v>Iron</c:v>
                </c:pt>
                <c:pt idx="4">
                  <c:v>Nickel</c:v>
                </c:pt>
                <c:pt idx="5">
                  <c:v>Steel</c:v>
                </c:pt>
                <c:pt idx="6">
                  <c:v>Tin</c:v>
                </c:pt>
              </c:strCache>
            </c:strRef>
          </c:cat>
          <c:val>
            <c:numRef>
              <c:f>'Pivot-Amt in Tons_Total Rev'!$C$2:$C$9</c:f>
              <c:numCache>
                <c:formatCode>#,##0_);\(#,##0\)</c:formatCode>
                <c:ptCount val="7"/>
                <c:pt idx="0">
                  <c:v>15887</c:v>
                </c:pt>
                <c:pt idx="1">
                  <c:v>658</c:v>
                </c:pt>
                <c:pt idx="2">
                  <c:v>4525</c:v>
                </c:pt>
                <c:pt idx="3">
                  <c:v>5679</c:v>
                </c:pt>
                <c:pt idx="4">
                  <c:v>5076</c:v>
                </c:pt>
                <c:pt idx="5">
                  <c:v>16093</c:v>
                </c:pt>
                <c:pt idx="6">
                  <c:v>3401</c:v>
                </c:pt>
              </c:numCache>
            </c:numRef>
          </c:val>
          <c:smooth val="0"/>
          <c:extLst>
            <c:ext xmlns:c16="http://schemas.microsoft.com/office/drawing/2014/chart" uri="{C3380CC4-5D6E-409C-BE32-E72D297353CC}">
              <c16:uniqueId val="{00000001-DC92-434B-943F-1C6DF6FBB6F4}"/>
            </c:ext>
          </c:extLst>
        </c:ser>
        <c:dLbls>
          <c:showLegendKey val="0"/>
          <c:showVal val="0"/>
          <c:showCatName val="0"/>
          <c:showSerName val="0"/>
          <c:showPercent val="0"/>
          <c:showBubbleSize val="0"/>
        </c:dLbls>
        <c:marker val="1"/>
        <c:smooth val="0"/>
        <c:axId val="910734568"/>
        <c:axId val="910731616"/>
      </c:lineChart>
      <c:catAx>
        <c:axId val="8886846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8684936"/>
        <c:crosses val="autoZero"/>
        <c:auto val="1"/>
        <c:lblAlgn val="ctr"/>
        <c:lblOffset val="100"/>
        <c:noMultiLvlLbl val="0"/>
      </c:catAx>
      <c:valAx>
        <c:axId val="888684936"/>
        <c:scaling>
          <c:orientation val="minMax"/>
        </c:scaling>
        <c:delete val="0"/>
        <c:axPos val="l"/>
        <c:numFmt formatCode="#,##0_);\(#,##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88684608"/>
        <c:crosses val="autoZero"/>
        <c:crossBetween val="between"/>
      </c:valAx>
      <c:valAx>
        <c:axId val="910731616"/>
        <c:scaling>
          <c:orientation val="minMax"/>
        </c:scaling>
        <c:delete val="0"/>
        <c:axPos val="r"/>
        <c:numFmt formatCode="#,##0_);\(#,##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0734568"/>
        <c:crosses val="max"/>
        <c:crossBetween val="between"/>
      </c:valAx>
      <c:catAx>
        <c:axId val="910734568"/>
        <c:scaling>
          <c:orientation val="minMax"/>
        </c:scaling>
        <c:delete val="1"/>
        <c:axPos val="b"/>
        <c:numFmt formatCode="General" sourceLinked="1"/>
        <c:majorTickMark val="out"/>
        <c:minorTickMark val="none"/>
        <c:tickLblPos val="nextTo"/>
        <c:crossAx val="910731616"/>
        <c:crosses val="autoZero"/>
        <c:auto val="1"/>
        <c:lblAlgn val="ctr"/>
        <c:lblOffset val="100"/>
        <c:noMultiLvlLbl val="0"/>
      </c:cat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[Interactive Charts and Dashboards.xlsx]Pivot-Total Revenue!PivotTable9</c:name>
    <c:fmtId val="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Revenue by Month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s>
    <c:plotArea>
      <c:layout/>
      <c:barChart>
        <c:barDir val="col"/>
        <c:grouping val="clustered"/>
        <c:varyColors val="0"/>
        <c:ser>
          <c:idx val="0"/>
          <c:order val="0"/>
          <c:tx>
            <c:strRef>
              <c:f>'Pivot-Total Revenue'!$B$1</c:f>
              <c:strCache>
                <c:ptCount val="1"/>
                <c:pt idx="0">
                  <c:v>Total</c:v>
                </c:pt>
              </c:strCache>
            </c:strRef>
          </c:tx>
          <c:spPr>
            <a:solidFill>
              <a:schemeClr val="accent1"/>
            </a:solidFill>
            <a:ln>
              <a:noFill/>
            </a:ln>
            <a:effectLst/>
          </c:spPr>
          <c:invertIfNegative val="0"/>
          <c:cat>
            <c:multiLvlStrRef>
              <c:f>'Pivot-Total Revenue'!$A$2:$A$29</c:f>
              <c:multiLvlStrCache>
                <c:ptCount val="24"/>
                <c:lvl>
                  <c:pt idx="0">
                    <c:v>Feb</c:v>
                  </c:pt>
                  <c:pt idx="1">
                    <c:v>Dec</c:v>
                  </c:pt>
                  <c:pt idx="2">
                    <c:v>Jan</c:v>
                  </c:pt>
                  <c:pt idx="3">
                    <c:v>Feb</c:v>
                  </c:pt>
                  <c:pt idx="4">
                    <c:v>Mar</c:v>
                  </c:pt>
                  <c:pt idx="5">
                    <c:v>Apr</c:v>
                  </c:pt>
                  <c:pt idx="6">
                    <c:v>May</c:v>
                  </c:pt>
                  <c:pt idx="7">
                    <c:v>Jun</c:v>
                  </c:pt>
                  <c:pt idx="8">
                    <c:v>Aug</c:v>
                  </c:pt>
                  <c:pt idx="9">
                    <c:v>Sep</c:v>
                  </c:pt>
                  <c:pt idx="10">
                    <c:v>Oct</c:v>
                  </c:pt>
                  <c:pt idx="11">
                    <c:v>Nov</c:v>
                  </c:pt>
                  <c:pt idx="12">
                    <c:v>Dec</c:v>
                  </c:pt>
                  <c:pt idx="13">
                    <c:v>Jan</c:v>
                  </c:pt>
                  <c:pt idx="14">
                    <c:v>Feb</c:v>
                  </c:pt>
                  <c:pt idx="15">
                    <c:v>Mar</c:v>
                  </c:pt>
                  <c:pt idx="16">
                    <c:v>Apr</c:v>
                  </c:pt>
                  <c:pt idx="17">
                    <c:v>May</c:v>
                  </c:pt>
                  <c:pt idx="18">
                    <c:v>Jun</c:v>
                  </c:pt>
                  <c:pt idx="19">
                    <c:v>Jul</c:v>
                  </c:pt>
                  <c:pt idx="20">
                    <c:v>Sep</c:v>
                  </c:pt>
                  <c:pt idx="21">
                    <c:v>Oct</c:v>
                  </c:pt>
                  <c:pt idx="22">
                    <c:v>Nov</c:v>
                  </c:pt>
                  <c:pt idx="23">
                    <c:v>Dec</c:v>
                  </c:pt>
                </c:lvl>
                <c:lvl>
                  <c:pt idx="0">
                    <c:v>2012</c:v>
                  </c:pt>
                  <c:pt idx="2">
                    <c:v>2013</c:v>
                  </c:pt>
                  <c:pt idx="13">
                    <c:v>2014</c:v>
                  </c:pt>
                </c:lvl>
              </c:multiLvlStrCache>
            </c:multiLvlStrRef>
          </c:cat>
          <c:val>
            <c:numRef>
              <c:f>'Pivot-Total Revenue'!$B$2:$B$29</c:f>
              <c:numCache>
                <c:formatCode>#,##0_);\(#,##0\)</c:formatCode>
                <c:ptCount val="24"/>
                <c:pt idx="0">
                  <c:v>360</c:v>
                </c:pt>
                <c:pt idx="1">
                  <c:v>1524</c:v>
                </c:pt>
                <c:pt idx="2">
                  <c:v>4891</c:v>
                </c:pt>
                <c:pt idx="3">
                  <c:v>900</c:v>
                </c:pt>
                <c:pt idx="4">
                  <c:v>1976</c:v>
                </c:pt>
                <c:pt idx="5">
                  <c:v>252</c:v>
                </c:pt>
                <c:pt idx="6">
                  <c:v>1153</c:v>
                </c:pt>
                <c:pt idx="7">
                  <c:v>775</c:v>
                </c:pt>
                <c:pt idx="8">
                  <c:v>2112</c:v>
                </c:pt>
                <c:pt idx="9">
                  <c:v>1230</c:v>
                </c:pt>
                <c:pt idx="10">
                  <c:v>295</c:v>
                </c:pt>
                <c:pt idx="11">
                  <c:v>2265</c:v>
                </c:pt>
                <c:pt idx="12">
                  <c:v>352</c:v>
                </c:pt>
                <c:pt idx="13">
                  <c:v>1710</c:v>
                </c:pt>
                <c:pt idx="14">
                  <c:v>7205</c:v>
                </c:pt>
                <c:pt idx="15">
                  <c:v>3188</c:v>
                </c:pt>
                <c:pt idx="16">
                  <c:v>3381</c:v>
                </c:pt>
                <c:pt idx="17">
                  <c:v>1568</c:v>
                </c:pt>
                <c:pt idx="18">
                  <c:v>3222</c:v>
                </c:pt>
                <c:pt idx="19">
                  <c:v>1940</c:v>
                </c:pt>
                <c:pt idx="20">
                  <c:v>5045</c:v>
                </c:pt>
                <c:pt idx="21">
                  <c:v>1834</c:v>
                </c:pt>
                <c:pt idx="22">
                  <c:v>901</c:v>
                </c:pt>
                <c:pt idx="23">
                  <c:v>3240</c:v>
                </c:pt>
              </c:numCache>
            </c:numRef>
          </c:val>
          <c:extLst>
            <c:ext xmlns:c16="http://schemas.microsoft.com/office/drawing/2014/chart" uri="{C3380CC4-5D6E-409C-BE32-E72D297353CC}">
              <c16:uniqueId val="{00000000-233E-45A6-AE63-D30DD2928563}"/>
            </c:ext>
          </c:extLst>
        </c:ser>
        <c:dLbls>
          <c:showLegendKey val="0"/>
          <c:showVal val="0"/>
          <c:showCatName val="0"/>
          <c:showSerName val="0"/>
          <c:showPercent val="0"/>
          <c:showBubbleSize val="0"/>
        </c:dLbls>
        <c:gapWidth val="219"/>
        <c:overlap val="-27"/>
        <c:axId val="910742112"/>
        <c:axId val="910740800"/>
      </c:barChart>
      <c:catAx>
        <c:axId val="91074211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0740800"/>
        <c:crosses val="autoZero"/>
        <c:auto val="1"/>
        <c:lblAlgn val="ctr"/>
        <c:lblOffset val="100"/>
        <c:noMultiLvlLbl val="0"/>
      </c:catAx>
      <c:valAx>
        <c:axId val="910740800"/>
        <c:scaling>
          <c:orientation val="minMax"/>
        </c:scaling>
        <c:delete val="0"/>
        <c:axPos val="l"/>
        <c:numFmt formatCode="#,##0_);\(#,##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07421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1</xdr:col>
      <xdr:colOff>0</xdr:colOff>
      <xdr:row>2</xdr:row>
      <xdr:rowOff>12700</xdr:rowOff>
    </xdr:from>
    <xdr:to>
      <xdr:col>8</xdr:col>
      <xdr:colOff>450850</xdr:colOff>
      <xdr:row>17</xdr:row>
      <xdr:rowOff>11113</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450849</xdr:colOff>
      <xdr:row>2</xdr:row>
      <xdr:rowOff>14286</xdr:rowOff>
    </xdr:from>
    <xdr:to>
      <xdr:col>16</xdr:col>
      <xdr:colOff>273049</xdr:colOff>
      <xdr:row>17</xdr:row>
      <xdr:rowOff>12699</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279399</xdr:colOff>
      <xdr:row>2</xdr:row>
      <xdr:rowOff>7936</xdr:rowOff>
    </xdr:from>
    <xdr:to>
      <xdr:col>24</xdr:col>
      <xdr:colOff>101599</xdr:colOff>
      <xdr:row>17</xdr:row>
      <xdr:rowOff>6349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66675</xdr:colOff>
      <xdr:row>17</xdr:row>
      <xdr:rowOff>9525</xdr:rowOff>
    </xdr:from>
    <xdr:to>
      <xdr:col>12</xdr:col>
      <xdr:colOff>371475</xdr:colOff>
      <xdr:row>31</xdr:row>
      <xdr:rowOff>174625</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12</xdr:col>
      <xdr:colOff>358775</xdr:colOff>
      <xdr:row>17</xdr:row>
      <xdr:rowOff>9525</xdr:rowOff>
    </xdr:from>
    <xdr:to>
      <xdr:col>20</xdr:col>
      <xdr:colOff>53975</xdr:colOff>
      <xdr:row>31</xdr:row>
      <xdr:rowOff>174625</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0</xdr:col>
      <xdr:colOff>146050</xdr:colOff>
      <xdr:row>0</xdr:row>
      <xdr:rowOff>95250</xdr:rowOff>
    </xdr:from>
    <xdr:to>
      <xdr:col>1</xdr:col>
      <xdr:colOff>215900</xdr:colOff>
      <xdr:row>2</xdr:row>
      <xdr:rowOff>177800</xdr:rowOff>
    </xdr:to>
    <xdr:sp macro="" textlink="">
      <xdr:nvSpPr>
        <xdr:cNvPr id="7" name="Oval 6"/>
        <xdr:cNvSpPr/>
      </xdr:nvSpPr>
      <xdr:spPr>
        <a:xfrm>
          <a:off x="146050" y="95250"/>
          <a:ext cx="679450" cy="450850"/>
        </a:xfrm>
        <a:prstGeom prst="ellipse">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282575</xdr:colOff>
      <xdr:row>0</xdr:row>
      <xdr:rowOff>19050</xdr:rowOff>
    </xdr:from>
    <xdr:to>
      <xdr:col>10</xdr:col>
      <xdr:colOff>587375</xdr:colOff>
      <xdr:row>15</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282575</xdr:colOff>
      <xdr:row>15</xdr:row>
      <xdr:rowOff>0</xdr:rowOff>
    </xdr:from>
    <xdr:to>
      <xdr:col>10</xdr:col>
      <xdr:colOff>587375</xdr:colOff>
      <xdr:row>29</xdr:row>
      <xdr:rowOff>165100</xdr:rowOff>
    </xdr:to>
    <xdr:graphicFrame macro="">
      <xdr:nvGraphicFramePr>
        <xdr:cNvPr id="3"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12</xdr:col>
      <xdr:colOff>285750</xdr:colOff>
      <xdr:row>0</xdr:row>
      <xdr:rowOff>31750</xdr:rowOff>
    </xdr:from>
    <xdr:to>
      <xdr:col>16</xdr:col>
      <xdr:colOff>57150</xdr:colOff>
      <xdr:row>9</xdr:row>
      <xdr:rowOff>38099</xdr:rowOff>
    </xdr:to>
    <mc:AlternateContent xmlns:mc="http://schemas.openxmlformats.org/markup-compatibility/2006" xmlns:a14="http://schemas.microsoft.com/office/drawing/2010/main">
      <mc:Choice Requires="a14">
        <xdr:graphicFrame macro="">
          <xdr:nvGraphicFramePr>
            <xdr:cNvPr id="4" name="Metal Type"/>
            <xdr:cNvGraphicFramePr/>
          </xdr:nvGraphicFramePr>
          <xdr:xfrm>
            <a:off x="0" y="0"/>
            <a:ext cx="0" cy="0"/>
          </xdr:xfrm>
          <a:graphic>
            <a:graphicData uri="http://schemas.microsoft.com/office/drawing/2010/slicer">
              <sle:slicer xmlns:sle="http://schemas.microsoft.com/office/drawing/2010/slicer" name="Metal Type"/>
            </a:graphicData>
          </a:graphic>
        </xdr:graphicFrame>
      </mc:Choice>
      <mc:Fallback xmlns="">
        <xdr:sp macro="" textlink="">
          <xdr:nvSpPr>
            <xdr:cNvPr id="0" name=""/>
            <xdr:cNvSpPr>
              <a:spLocks noTextEdit="1"/>
            </xdr:cNvSpPr>
          </xdr:nvSpPr>
          <xdr:spPr>
            <a:xfrm>
              <a:off x="9391650" y="31750"/>
              <a:ext cx="2209800" cy="1663699"/>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16</xdr:col>
      <xdr:colOff>114300</xdr:colOff>
      <xdr:row>0</xdr:row>
      <xdr:rowOff>50801</xdr:rowOff>
    </xdr:from>
    <xdr:to>
      <xdr:col>19</xdr:col>
      <xdr:colOff>114300</xdr:colOff>
      <xdr:row>9</xdr:row>
      <xdr:rowOff>63501</xdr:rowOff>
    </xdr:to>
    <mc:AlternateContent xmlns:mc="http://schemas.openxmlformats.org/markup-compatibility/2006" xmlns:a14="http://schemas.microsoft.com/office/drawing/2010/main">
      <mc:Choice Requires="a14">
        <xdr:graphicFrame macro="">
          <xdr:nvGraphicFramePr>
            <xdr:cNvPr id="5" name="Item Type"/>
            <xdr:cNvGraphicFramePr/>
          </xdr:nvGraphicFramePr>
          <xdr:xfrm>
            <a:off x="0" y="0"/>
            <a:ext cx="0" cy="0"/>
          </xdr:xfrm>
          <a:graphic>
            <a:graphicData uri="http://schemas.microsoft.com/office/drawing/2010/slicer">
              <sle:slicer xmlns:sle="http://schemas.microsoft.com/office/drawing/2010/slicer" name="Item Type"/>
            </a:graphicData>
          </a:graphic>
        </xdr:graphicFrame>
      </mc:Choice>
      <mc:Fallback xmlns="">
        <xdr:sp macro="" textlink="">
          <xdr:nvSpPr>
            <xdr:cNvPr id="0" name=""/>
            <xdr:cNvSpPr>
              <a:spLocks noTextEdit="1"/>
            </xdr:cNvSpPr>
          </xdr:nvSpPr>
          <xdr:spPr>
            <a:xfrm>
              <a:off x="11658600" y="50801"/>
              <a:ext cx="1828800" cy="16700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12</xdr:col>
      <xdr:colOff>228600</xdr:colOff>
      <xdr:row>9</xdr:row>
      <xdr:rowOff>152400</xdr:rowOff>
    </xdr:from>
    <xdr:to>
      <xdr:col>16</xdr:col>
      <xdr:colOff>133350</xdr:colOff>
      <xdr:row>23</xdr:row>
      <xdr:rowOff>98425</xdr:rowOff>
    </xdr:to>
    <mc:AlternateContent xmlns:mc="http://schemas.openxmlformats.org/markup-compatibility/2006" xmlns:a14="http://schemas.microsoft.com/office/drawing/2010/main">
      <mc:Choice Requires="a14">
        <xdr:graphicFrame macro="">
          <xdr:nvGraphicFramePr>
            <xdr:cNvPr id="6" name="Company"/>
            <xdr:cNvGraphicFramePr/>
          </xdr:nvGraphicFramePr>
          <xdr:xfrm>
            <a:off x="0" y="0"/>
            <a:ext cx="0" cy="0"/>
          </xdr:xfrm>
          <a:graphic>
            <a:graphicData uri="http://schemas.microsoft.com/office/drawing/2010/slicer">
              <sle:slicer xmlns:sle="http://schemas.microsoft.com/office/drawing/2010/slicer" name="Company"/>
            </a:graphicData>
          </a:graphic>
        </xdr:graphicFrame>
      </mc:Choice>
      <mc:Fallback xmlns="">
        <xdr:sp macro="" textlink="">
          <xdr:nvSpPr>
            <xdr:cNvPr id="0" name=""/>
            <xdr:cNvSpPr>
              <a:spLocks noTextEdit="1"/>
            </xdr:cNvSpPr>
          </xdr:nvSpPr>
          <xdr:spPr>
            <a:xfrm>
              <a:off x="9334500" y="1809750"/>
              <a:ext cx="2343150" cy="25241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16</xdr:col>
      <xdr:colOff>146050</xdr:colOff>
      <xdr:row>9</xdr:row>
      <xdr:rowOff>139701</xdr:rowOff>
    </xdr:from>
    <xdr:to>
      <xdr:col>19</xdr:col>
      <xdr:colOff>501650</xdr:colOff>
      <xdr:row>16</xdr:row>
      <xdr:rowOff>1</xdr:rowOff>
    </xdr:to>
    <mc:AlternateContent xmlns:mc="http://schemas.openxmlformats.org/markup-compatibility/2006" xmlns:a14="http://schemas.microsoft.com/office/drawing/2010/main">
      <mc:Choice Requires="a14">
        <xdr:graphicFrame macro="">
          <xdr:nvGraphicFramePr>
            <xdr:cNvPr id="8" name="Years"/>
            <xdr:cNvGraphicFramePr/>
          </xdr:nvGraphicFramePr>
          <xdr:xfrm>
            <a:off x="0" y="0"/>
            <a:ext cx="0" cy="0"/>
          </xdr:xfrm>
          <a:graphic>
            <a:graphicData uri="http://schemas.microsoft.com/office/drawing/2010/slicer">
              <sle:slicer xmlns:sle="http://schemas.microsoft.com/office/drawing/2010/slicer" name="Years"/>
            </a:graphicData>
          </a:graphic>
        </xdr:graphicFrame>
      </mc:Choice>
      <mc:Fallback xmlns="">
        <xdr:sp macro="" textlink="">
          <xdr:nvSpPr>
            <xdr:cNvPr id="0" name=""/>
            <xdr:cNvSpPr>
              <a:spLocks noTextEdit="1"/>
            </xdr:cNvSpPr>
          </xdr:nvSpPr>
          <xdr:spPr>
            <a:xfrm>
              <a:off x="11690350" y="1797051"/>
              <a:ext cx="2184400" cy="114935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12</xdr:col>
      <xdr:colOff>222250</xdr:colOff>
      <xdr:row>23</xdr:row>
      <xdr:rowOff>158750</xdr:rowOff>
    </xdr:from>
    <xdr:to>
      <xdr:col>17</xdr:col>
      <xdr:colOff>508000</xdr:colOff>
      <xdr:row>31</xdr:row>
      <xdr:rowOff>57150</xdr:rowOff>
    </xdr:to>
    <mc:AlternateContent xmlns:mc="http://schemas.openxmlformats.org/markup-compatibility/2006" xmlns:tsle="http://schemas.microsoft.com/office/drawing/2012/timeslicer">
      <mc:Choice Requires="tsle">
        <xdr:graphicFrame macro="">
          <xdr:nvGraphicFramePr>
            <xdr:cNvPr id="9" name="Date"/>
            <xdr:cNvGraphicFramePr/>
          </xdr:nvGraphicFramePr>
          <xdr:xfrm>
            <a:off x="0" y="0"/>
            <a:ext cx="0" cy="0"/>
          </xdr:xfrm>
          <a:graphic>
            <a:graphicData uri="http://schemas.microsoft.com/office/drawing/2012/timeslicer">
              <tsle:timeslicer name="Date"/>
            </a:graphicData>
          </a:graphic>
        </xdr:graphicFrame>
      </mc:Choice>
      <mc:Fallback xmlns="">
        <xdr:sp macro="" textlink="">
          <xdr:nvSpPr>
            <xdr:cNvPr id="0" name=""/>
            <xdr:cNvSpPr>
              <a:spLocks noTextEdit="1"/>
            </xdr:cNvSpPr>
          </xdr:nvSpPr>
          <xdr:spPr>
            <a:xfrm>
              <a:off x="9328150" y="4394200"/>
              <a:ext cx="3333750" cy="1371600"/>
            </a:xfrm>
            <a:prstGeom prst="rect">
              <a:avLst/>
            </a:prstGeom>
            <a:solidFill>
              <a:prstClr val="white"/>
            </a:solidFill>
            <a:ln w="1">
              <a:solidFill>
                <a:prstClr val="green"/>
              </a:solidFill>
            </a:ln>
          </xdr:spPr>
          <xdr:txBody>
            <a:bodyPr vertOverflow="clip" horzOverflow="clip"/>
            <a:lstStyle/>
            <a:p>
              <a:r>
                <a:rPr lang="en-US" sz="1100"/>
                <a:t>Timeline: Works in Excel or higher. Do not move or resize.</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dam" refreshedDate="42638.915720254627" createdVersion="6" refreshedVersion="6" minRefreshableVersion="3" recordCount="50">
  <cacheSource type="worksheet">
    <worksheetSource ref="A1:H51" sheet="Data"/>
  </cacheSource>
  <cacheFields count="10">
    <cacheField name="Metal Type" numFmtId="0">
      <sharedItems count="7">
        <s v="Aluminum"/>
        <s v="Nickel"/>
        <s v="Steel"/>
        <s v="Tin"/>
        <s v="Brass"/>
        <s v="Copper"/>
        <s v="Iron"/>
      </sharedItems>
    </cacheField>
    <cacheField name="Item Type" numFmtId="0">
      <sharedItems count="10">
        <s v="Can"/>
        <s v="Coins"/>
        <s v="Hubcaps"/>
        <s v="Construction Debris"/>
        <s v="Miscellaneous"/>
        <s v="Leftover Building Material"/>
        <s v="Wire"/>
        <s v="Bumpers"/>
        <s v="Car"/>
        <s v="Pipes"/>
      </sharedItems>
    </cacheField>
    <cacheField name="Company" numFmtId="0">
      <sharedItems count="15">
        <s v="National Recycling"/>
        <s v="Golden State Metals"/>
        <s v="Blue Metals &amp; Recycling"/>
        <s v="Bay Area Recycling"/>
        <s v="Benny Recycling"/>
        <s v="Hal's Diecasting"/>
        <s v="Steel Recyclers"/>
        <s v="City Recycling"/>
        <s v="Marin Steel"/>
        <s v="ABC Metals"/>
        <s v="US Metals"/>
        <s v="Easy Automotive Repair"/>
        <s v="Tom's Automotive Recycling"/>
        <s v="Oakland Automotive"/>
        <s v="California Traders"/>
      </sharedItems>
    </cacheField>
    <cacheField name="Date" numFmtId="14">
      <sharedItems containsSemiMixedTypes="0" containsNonDate="0" containsDate="1" containsString="0" minDate="2012-02-07T00:00:00" maxDate="2014-12-16T00:00:00" count="47">
        <d v="2013-02-01T00:00:00"/>
        <d v="2013-01-31T00:00:00"/>
        <d v="2013-03-01T00:00:00"/>
        <d v="2012-12-17T00:00:00"/>
        <d v="2012-02-07T00:00:00"/>
        <d v="2013-05-06T00:00:00"/>
        <d v="2013-08-15T00:00:00"/>
        <d v="2013-03-04T00:00:00"/>
        <d v="2013-06-16T00:00:00"/>
        <d v="2013-11-10T00:00:00"/>
        <d v="2013-12-14T00:00:00"/>
        <d v="2013-04-14T00:00:00"/>
        <d v="2013-05-11T00:00:00"/>
        <d v="2013-10-29T00:00:00"/>
        <d v="2013-01-15T00:00:00"/>
        <d v="2013-03-10T00:00:00"/>
        <d v="2013-08-12T00:00:00"/>
        <d v="2013-11-14T00:00:00"/>
        <d v="2013-09-11T00:00:00"/>
        <d v="2012-12-19T00:00:00"/>
        <d v="2013-01-09T00:00:00"/>
        <d v="2013-04-01T00:00:00"/>
        <d v="2013-09-02T00:00:00"/>
        <d v="2014-03-15T00:00:00"/>
        <d v="2014-02-01T00:00:00"/>
        <d v="2014-03-31T00:00:00"/>
        <d v="2014-04-11T00:00:00"/>
        <d v="2014-10-15T00:00:00"/>
        <d v="2014-02-15T00:00:00"/>
        <d v="2014-02-10T00:00:00"/>
        <d v="2014-09-12T00:00:00"/>
        <d v="2014-11-04T00:00:00"/>
        <d v="2014-06-16T00:00:00"/>
        <d v="2014-03-06T00:00:00"/>
        <d v="2014-02-02T00:00:00"/>
        <d v="2014-10-03T00:00:00"/>
        <d v="2014-09-05T00:00:00"/>
        <d v="2014-02-14T00:00:00"/>
        <d v="2014-05-25T00:00:00"/>
        <d v="2014-03-17T00:00:00"/>
        <d v="2014-07-07T00:00:00"/>
        <d v="2014-01-01T00:00:00"/>
        <d v="2014-09-20T00:00:00"/>
        <d v="2014-09-28T00:00:00"/>
        <d v="2014-06-06T00:00:00"/>
        <d v="2014-07-09T00:00:00"/>
        <d v="2014-12-15T00:00:00"/>
      </sharedItems>
      <fieldGroup par="9" base="3">
        <rangePr groupBy="months" startDate="2012-02-07T00:00:00" endDate="2014-12-16T00:00:00"/>
        <groupItems count="14">
          <s v="&lt;2/7/2012"/>
          <s v="Jan"/>
          <s v="Feb"/>
          <s v="Mar"/>
          <s v="Apr"/>
          <s v="May"/>
          <s v="Jun"/>
          <s v="Jul"/>
          <s v="Aug"/>
          <s v="Sep"/>
          <s v="Oct"/>
          <s v="Nov"/>
          <s v="Dec"/>
          <s v="&gt;12/16/2014"/>
        </groupItems>
      </fieldGroup>
    </cacheField>
    <cacheField name="Amount in tons" numFmtId="0">
      <sharedItems containsSemiMixedTypes="0" containsString="0" containsNumber="1" containsInteger="1" minValue="3" maxValue="50"/>
    </cacheField>
    <cacheField name="Revenue per ton" numFmtId="0">
      <sharedItems containsSemiMixedTypes="0" containsString="0" containsNumber="1" containsInteger="1" minValue="4" maxValue="100"/>
    </cacheField>
    <cacheField name="Total Revenue" numFmtId="0">
      <sharedItems containsSemiMixedTypes="0" containsString="0" containsNumber="1" containsInteger="1" minValue="72" maxValue="3381"/>
    </cacheField>
    <cacheField name="Year" numFmtId="0">
      <sharedItems containsSemiMixedTypes="0" containsString="0" containsNumber="1" containsInteger="1" minValue="2012" maxValue="2014"/>
    </cacheField>
    <cacheField name="Quarters" numFmtId="0" databaseField="0">
      <fieldGroup base="3">
        <rangePr groupBy="quarters" startDate="2012-02-07T00:00:00" endDate="2014-12-16T00:00:00"/>
        <groupItems count="6">
          <s v="&lt;2/7/2012"/>
          <s v="Qtr1"/>
          <s v="Qtr2"/>
          <s v="Qtr3"/>
          <s v="Qtr4"/>
          <s v="&gt;12/16/2014"/>
        </groupItems>
      </fieldGroup>
    </cacheField>
    <cacheField name="Years" numFmtId="0" databaseField="0">
      <fieldGroup base="3">
        <rangePr groupBy="years" startDate="2012-02-07T00:00:00" endDate="2014-12-16T00:00:00"/>
        <groupItems count="5">
          <s v="&lt;2/7/2012"/>
          <s v="2012"/>
          <s v="2013"/>
          <s v="2014"/>
          <s v="&gt;12/16/2014"/>
        </groupItems>
      </fieldGroup>
    </cacheField>
  </cacheFields>
  <extLst>
    <ext xmlns:x14="http://schemas.microsoft.com/office/spreadsheetml/2009/9/main" uri="{725AE2AE-9491-48be-B2B4-4EB974FC3084}">
      <x14:pivotCacheDefinition pivotCacheId="3"/>
    </ext>
  </extLst>
</pivotCacheDefinition>
</file>

<file path=xl/pivotCache/pivotCacheRecords1.xml><?xml version="1.0" encoding="utf-8"?>
<pivotCacheRecords xmlns="http://schemas.openxmlformats.org/spreadsheetml/2006/main" xmlns:r="http://schemas.openxmlformats.org/officeDocument/2006/relationships" count="50">
  <r>
    <x v="0"/>
    <x v="0"/>
    <x v="0"/>
    <x v="0"/>
    <n v="9"/>
    <n v="100"/>
    <n v="900"/>
    <n v="2013"/>
  </r>
  <r>
    <x v="1"/>
    <x v="1"/>
    <x v="0"/>
    <x v="1"/>
    <n v="17"/>
    <n v="15"/>
    <n v="255"/>
    <n v="2013"/>
  </r>
  <r>
    <x v="0"/>
    <x v="0"/>
    <x v="1"/>
    <x v="2"/>
    <n v="12"/>
    <n v="50"/>
    <n v="600"/>
    <n v="2013"/>
  </r>
  <r>
    <x v="0"/>
    <x v="0"/>
    <x v="2"/>
    <x v="3"/>
    <n v="24"/>
    <n v="60"/>
    <n v="1440"/>
    <n v="2012"/>
  </r>
  <r>
    <x v="2"/>
    <x v="2"/>
    <x v="3"/>
    <x v="4"/>
    <n v="20"/>
    <n v="18"/>
    <n v="360"/>
    <n v="2012"/>
  </r>
  <r>
    <x v="0"/>
    <x v="3"/>
    <x v="4"/>
    <x v="5"/>
    <n v="25"/>
    <n v="40"/>
    <n v="1000"/>
    <n v="2013"/>
  </r>
  <r>
    <x v="2"/>
    <x v="0"/>
    <x v="5"/>
    <x v="6"/>
    <n v="30"/>
    <n v="6"/>
    <n v="180"/>
    <n v="2013"/>
  </r>
  <r>
    <x v="0"/>
    <x v="3"/>
    <x v="6"/>
    <x v="7"/>
    <n v="16"/>
    <n v="30"/>
    <n v="480"/>
    <n v="2013"/>
  </r>
  <r>
    <x v="3"/>
    <x v="4"/>
    <x v="6"/>
    <x v="8"/>
    <n v="31"/>
    <n v="25"/>
    <n v="775"/>
    <n v="2013"/>
  </r>
  <r>
    <x v="0"/>
    <x v="5"/>
    <x v="7"/>
    <x v="9"/>
    <n v="44"/>
    <n v="30"/>
    <n v="1320"/>
    <n v="2013"/>
  </r>
  <r>
    <x v="4"/>
    <x v="4"/>
    <x v="8"/>
    <x v="10"/>
    <n v="22"/>
    <n v="16"/>
    <n v="352"/>
    <n v="2013"/>
  </r>
  <r>
    <x v="5"/>
    <x v="6"/>
    <x v="9"/>
    <x v="11"/>
    <n v="18"/>
    <n v="10"/>
    <n v="180"/>
    <n v="2013"/>
  </r>
  <r>
    <x v="6"/>
    <x v="4"/>
    <x v="0"/>
    <x v="12"/>
    <n v="9"/>
    <n v="17"/>
    <n v="153"/>
    <n v="2013"/>
  </r>
  <r>
    <x v="3"/>
    <x v="0"/>
    <x v="10"/>
    <x v="13"/>
    <n v="5"/>
    <n v="59"/>
    <n v="295"/>
    <n v="2013"/>
  </r>
  <r>
    <x v="2"/>
    <x v="7"/>
    <x v="11"/>
    <x v="14"/>
    <n v="33"/>
    <n v="43"/>
    <n v="1419"/>
    <n v="2013"/>
  </r>
  <r>
    <x v="5"/>
    <x v="2"/>
    <x v="8"/>
    <x v="15"/>
    <n v="28"/>
    <n v="32"/>
    <n v="896"/>
    <n v="2013"/>
  </r>
  <r>
    <x v="2"/>
    <x v="8"/>
    <x v="12"/>
    <x v="16"/>
    <n v="42"/>
    <n v="46"/>
    <n v="1932"/>
    <n v="2013"/>
  </r>
  <r>
    <x v="2"/>
    <x v="3"/>
    <x v="13"/>
    <x v="17"/>
    <n v="45"/>
    <n v="21"/>
    <n v="945"/>
    <n v="2013"/>
  </r>
  <r>
    <x v="0"/>
    <x v="1"/>
    <x v="3"/>
    <x v="14"/>
    <n v="32"/>
    <n v="50"/>
    <n v="1600"/>
    <n v="2013"/>
  </r>
  <r>
    <x v="2"/>
    <x v="9"/>
    <x v="1"/>
    <x v="18"/>
    <n v="40"/>
    <n v="22"/>
    <n v="880"/>
    <n v="2013"/>
  </r>
  <r>
    <x v="2"/>
    <x v="0"/>
    <x v="0"/>
    <x v="19"/>
    <n v="21"/>
    <n v="4"/>
    <n v="84"/>
    <n v="2012"/>
  </r>
  <r>
    <x v="1"/>
    <x v="3"/>
    <x v="7"/>
    <x v="20"/>
    <n v="33"/>
    <n v="49"/>
    <n v="1617"/>
    <n v="2013"/>
  </r>
  <r>
    <x v="5"/>
    <x v="6"/>
    <x v="9"/>
    <x v="21"/>
    <n v="8"/>
    <n v="9"/>
    <n v="72"/>
    <n v="2013"/>
  </r>
  <r>
    <x v="6"/>
    <x v="7"/>
    <x v="14"/>
    <x v="22"/>
    <n v="35"/>
    <n v="10"/>
    <n v="350"/>
    <n v="2013"/>
  </r>
  <r>
    <x v="6"/>
    <x v="7"/>
    <x v="3"/>
    <x v="23"/>
    <n v="32"/>
    <n v="6"/>
    <n v="192"/>
    <n v="2014"/>
  </r>
  <r>
    <x v="0"/>
    <x v="0"/>
    <x v="0"/>
    <x v="24"/>
    <n v="13"/>
    <n v="36"/>
    <n v="468"/>
    <n v="2014"/>
  </r>
  <r>
    <x v="1"/>
    <x v="1"/>
    <x v="0"/>
    <x v="25"/>
    <n v="14"/>
    <n v="35"/>
    <n v="490"/>
    <n v="2014"/>
  </r>
  <r>
    <x v="0"/>
    <x v="0"/>
    <x v="1"/>
    <x v="26"/>
    <n v="49"/>
    <n v="69"/>
    <n v="3381"/>
    <n v="2014"/>
  </r>
  <r>
    <x v="0"/>
    <x v="0"/>
    <x v="2"/>
    <x v="27"/>
    <n v="10"/>
    <n v="33"/>
    <n v="330"/>
    <n v="2014"/>
  </r>
  <r>
    <x v="2"/>
    <x v="2"/>
    <x v="3"/>
    <x v="28"/>
    <n v="37"/>
    <n v="41"/>
    <n v="1517"/>
    <n v="2014"/>
  </r>
  <r>
    <x v="0"/>
    <x v="3"/>
    <x v="4"/>
    <x v="29"/>
    <n v="3"/>
    <n v="46"/>
    <n v="138"/>
    <n v="2014"/>
  </r>
  <r>
    <x v="2"/>
    <x v="0"/>
    <x v="5"/>
    <x v="30"/>
    <n v="18"/>
    <n v="36"/>
    <n v="648"/>
    <n v="2014"/>
  </r>
  <r>
    <x v="0"/>
    <x v="3"/>
    <x v="6"/>
    <x v="31"/>
    <n v="17"/>
    <n v="53"/>
    <n v="901"/>
    <n v="2014"/>
  </r>
  <r>
    <x v="3"/>
    <x v="4"/>
    <x v="6"/>
    <x v="32"/>
    <n v="21"/>
    <n v="78"/>
    <n v="1638"/>
    <n v="2014"/>
  </r>
  <r>
    <x v="0"/>
    <x v="5"/>
    <x v="7"/>
    <x v="29"/>
    <n v="31"/>
    <n v="87"/>
    <n v="2697"/>
    <n v="2014"/>
  </r>
  <r>
    <x v="4"/>
    <x v="4"/>
    <x v="8"/>
    <x v="33"/>
    <n v="18"/>
    <n v="17"/>
    <n v="306"/>
    <n v="2014"/>
  </r>
  <r>
    <x v="5"/>
    <x v="6"/>
    <x v="9"/>
    <x v="34"/>
    <n v="15"/>
    <n v="15"/>
    <n v="225"/>
    <n v="2014"/>
  </r>
  <r>
    <x v="6"/>
    <x v="4"/>
    <x v="0"/>
    <x v="35"/>
    <n v="47"/>
    <n v="32"/>
    <n v="1504"/>
    <n v="2014"/>
  </r>
  <r>
    <x v="3"/>
    <x v="0"/>
    <x v="10"/>
    <x v="36"/>
    <n v="11"/>
    <n v="63"/>
    <n v="693"/>
    <n v="2014"/>
  </r>
  <r>
    <x v="2"/>
    <x v="7"/>
    <x v="11"/>
    <x v="37"/>
    <n v="30"/>
    <n v="72"/>
    <n v="2160"/>
    <n v="2014"/>
  </r>
  <r>
    <x v="5"/>
    <x v="2"/>
    <x v="8"/>
    <x v="38"/>
    <n v="32"/>
    <n v="49"/>
    <n v="1568"/>
    <n v="2014"/>
  </r>
  <r>
    <x v="2"/>
    <x v="8"/>
    <x v="12"/>
    <x v="39"/>
    <n v="32"/>
    <n v="49"/>
    <n v="1568"/>
    <n v="2014"/>
  </r>
  <r>
    <x v="2"/>
    <x v="3"/>
    <x v="13"/>
    <x v="40"/>
    <n v="50"/>
    <n v="34"/>
    <n v="1700"/>
    <n v="2014"/>
  </r>
  <r>
    <x v="0"/>
    <x v="1"/>
    <x v="3"/>
    <x v="39"/>
    <n v="8"/>
    <n v="79"/>
    <n v="632"/>
    <n v="2014"/>
  </r>
  <r>
    <x v="2"/>
    <x v="9"/>
    <x v="1"/>
    <x v="41"/>
    <n v="19"/>
    <n v="90"/>
    <n v="1710"/>
    <n v="2014"/>
  </r>
  <r>
    <x v="2"/>
    <x v="0"/>
    <x v="0"/>
    <x v="42"/>
    <n v="15"/>
    <n v="66"/>
    <n v="990"/>
    <n v="2014"/>
  </r>
  <r>
    <x v="1"/>
    <x v="3"/>
    <x v="7"/>
    <x v="43"/>
    <n v="46"/>
    <n v="59"/>
    <n v="2714"/>
    <n v="2014"/>
  </r>
  <r>
    <x v="5"/>
    <x v="6"/>
    <x v="9"/>
    <x v="44"/>
    <n v="48"/>
    <n v="33"/>
    <n v="1584"/>
    <n v="2014"/>
  </r>
  <r>
    <x v="6"/>
    <x v="7"/>
    <x v="14"/>
    <x v="45"/>
    <n v="5"/>
    <n v="48"/>
    <n v="240"/>
    <n v="2014"/>
  </r>
  <r>
    <x v="6"/>
    <x v="7"/>
    <x v="3"/>
    <x v="46"/>
    <n v="36"/>
    <n v="90"/>
    <n v="3240"/>
    <n v="201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8" cacheId="4" applyNumberFormats="0" applyBorderFormats="0" applyFontFormats="0" applyPatternFormats="0" applyAlignmentFormats="0" applyWidthHeightFormats="1" dataCaption="Values" updatedVersion="6" minRefreshableVersion="5" useAutoFormatting="1" itemPrintTitles="1" createdVersion="6" indent="0" outline="1" outlineData="1" multipleFieldFilters="0" chartFormat="2">
  <location ref="A1:C9" firstHeaderRow="0" firstDataRow="1" firstDataCol="1"/>
  <pivotFields count="10">
    <pivotField axis="axisRow" showAll="0">
      <items count="8">
        <item x="0"/>
        <item x="4"/>
        <item x="5"/>
        <item x="6"/>
        <item x="1"/>
        <item x="2"/>
        <item x="3"/>
        <item t="default"/>
      </items>
    </pivotField>
    <pivotField showAll="0">
      <items count="11">
        <item x="7"/>
        <item x="0"/>
        <item x="8"/>
        <item x="1"/>
        <item x="3"/>
        <item x="2"/>
        <item x="5"/>
        <item x="4"/>
        <item x="9"/>
        <item x="6"/>
        <item t="default"/>
      </items>
    </pivotField>
    <pivotField showAll="0">
      <items count="16">
        <item x="9"/>
        <item x="3"/>
        <item x="4"/>
        <item x="2"/>
        <item x="14"/>
        <item x="7"/>
        <item x="11"/>
        <item x="1"/>
        <item x="5"/>
        <item x="8"/>
        <item x="0"/>
        <item x="13"/>
        <item x="6"/>
        <item x="12"/>
        <item x="10"/>
        <item t="default"/>
      </items>
    </pivotField>
    <pivotField numFmtId="14" showAll="0">
      <items count="15">
        <item x="0"/>
        <item x="1"/>
        <item x="2"/>
        <item x="3"/>
        <item x="4"/>
        <item x="5"/>
        <item x="6"/>
        <item x="7"/>
        <item x="8"/>
        <item x="9"/>
        <item x="10"/>
        <item x="11"/>
        <item x="12"/>
        <item x="13"/>
        <item t="default"/>
      </items>
    </pivotField>
    <pivotField dataField="1" showAll="0"/>
    <pivotField showAll="0"/>
    <pivotField dataField="1" showAll="0"/>
    <pivotField showAll="0"/>
    <pivotField showAll="0" defaultSubtotal="0">
      <items count="6">
        <item x="0"/>
        <item x="1"/>
        <item x="2"/>
        <item x="3"/>
        <item x="4"/>
        <item x="5"/>
      </items>
    </pivotField>
    <pivotField showAll="0" defaultSubtotal="0">
      <items count="5">
        <item x="0"/>
        <item x="1"/>
        <item x="2"/>
        <item x="3"/>
        <item x="4"/>
      </items>
    </pivotField>
  </pivotFields>
  <rowFields count="1">
    <field x="0"/>
  </rowFields>
  <rowItems count="8">
    <i>
      <x/>
    </i>
    <i>
      <x v="1"/>
    </i>
    <i>
      <x v="2"/>
    </i>
    <i>
      <x v="3"/>
    </i>
    <i>
      <x v="4"/>
    </i>
    <i>
      <x v="5"/>
    </i>
    <i>
      <x v="6"/>
    </i>
    <i t="grand">
      <x/>
    </i>
  </rowItems>
  <colFields count="1">
    <field x="-2"/>
  </colFields>
  <colItems count="2">
    <i>
      <x/>
    </i>
    <i i="1">
      <x v="1"/>
    </i>
  </colItems>
  <dataFields count="2">
    <dataField name="Sum of Amount in tons" fld="4" baseField="0" baseItem="0"/>
    <dataField name="Sum of Total Revenue" fld="6" baseField="0" baseItem="0"/>
  </dataFields>
  <formats count="1">
    <format dxfId="11">
      <pivotArea outline="0" collapsedLevelsAreSubtotals="1" fieldPosition="0"/>
    </format>
  </formats>
  <chartFormats count="2">
    <chartFormat chart="1" format="3" series="1">
      <pivotArea type="data" outline="0" fieldPosition="0">
        <references count="1">
          <reference field="4294967294" count="1" selected="0">
            <x v="0"/>
          </reference>
        </references>
      </pivotArea>
    </chartFormat>
    <chartFormat chart="1" format="4"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2.xml><?xml version="1.0" encoding="utf-8"?>
<pivotTableDefinition xmlns="http://schemas.openxmlformats.org/spreadsheetml/2006/main" name="PivotTable9" cacheId="4" applyNumberFormats="0" applyBorderFormats="0" applyFontFormats="0" applyPatternFormats="0" applyAlignmentFormats="0" applyWidthHeightFormats="1" dataCaption="Values" updatedVersion="6" minRefreshableVersion="5" useAutoFormatting="1" itemPrintTitles="1" createdVersion="6" indent="0" outline="1" outlineData="1" multipleFieldFilters="0" chartFormat="2">
  <location ref="A1:B29" firstHeaderRow="1" firstDataRow="1" firstDataCol="1"/>
  <pivotFields count="10">
    <pivotField showAll="0">
      <items count="8">
        <item x="0"/>
        <item x="4"/>
        <item x="5"/>
        <item x="6"/>
        <item x="1"/>
        <item x="2"/>
        <item x="3"/>
        <item t="default"/>
      </items>
    </pivotField>
    <pivotField showAll="0">
      <items count="11">
        <item x="7"/>
        <item x="0"/>
        <item x="8"/>
        <item x="1"/>
        <item x="3"/>
        <item x="2"/>
        <item x="5"/>
        <item x="4"/>
        <item x="9"/>
        <item x="6"/>
        <item t="default"/>
      </items>
    </pivotField>
    <pivotField showAll="0">
      <items count="16">
        <item x="9"/>
        <item x="3"/>
        <item x="4"/>
        <item x="2"/>
        <item x="14"/>
        <item x="7"/>
        <item x="11"/>
        <item x="1"/>
        <item x="5"/>
        <item x="8"/>
        <item x="0"/>
        <item x="13"/>
        <item x="6"/>
        <item x="12"/>
        <item x="10"/>
        <item t="default"/>
      </items>
    </pivotField>
    <pivotField axis="axisRow" numFmtId="14" showAll="0">
      <items count="15">
        <item x="0"/>
        <item x="1"/>
        <item x="2"/>
        <item x="3"/>
        <item x="4"/>
        <item x="5"/>
        <item x="6"/>
        <item x="7"/>
        <item x="8"/>
        <item x="9"/>
        <item x="10"/>
        <item x="11"/>
        <item x="12"/>
        <item x="13"/>
        <item t="default"/>
      </items>
    </pivotField>
    <pivotField showAll="0"/>
    <pivotField showAll="0"/>
    <pivotField dataField="1" showAll="0"/>
    <pivotField showAll="0"/>
    <pivotField showAll="0" defaultSubtotal="0">
      <items count="6">
        <item sd="0" x="0"/>
        <item sd="0" x="1"/>
        <item sd="0" x="2"/>
        <item sd="0" x="3"/>
        <item x="4"/>
        <item sd="0" x="5"/>
      </items>
    </pivotField>
    <pivotField axis="axisRow" showAll="0" defaultSubtotal="0">
      <items count="5">
        <item sd="0" x="0"/>
        <item x="1"/>
        <item x="2"/>
        <item x="3"/>
        <item sd="0" x="4"/>
      </items>
    </pivotField>
  </pivotFields>
  <rowFields count="2">
    <field x="9"/>
    <field x="3"/>
  </rowFields>
  <rowItems count="28">
    <i>
      <x v="1"/>
    </i>
    <i r="1">
      <x v="2"/>
    </i>
    <i r="1">
      <x v="12"/>
    </i>
    <i>
      <x v="2"/>
    </i>
    <i r="1">
      <x v="1"/>
    </i>
    <i r="1">
      <x v="2"/>
    </i>
    <i r="1">
      <x v="3"/>
    </i>
    <i r="1">
      <x v="4"/>
    </i>
    <i r="1">
      <x v="5"/>
    </i>
    <i r="1">
      <x v="6"/>
    </i>
    <i r="1">
      <x v="8"/>
    </i>
    <i r="1">
      <x v="9"/>
    </i>
    <i r="1">
      <x v="10"/>
    </i>
    <i r="1">
      <x v="11"/>
    </i>
    <i r="1">
      <x v="12"/>
    </i>
    <i>
      <x v="3"/>
    </i>
    <i r="1">
      <x v="1"/>
    </i>
    <i r="1">
      <x v="2"/>
    </i>
    <i r="1">
      <x v="3"/>
    </i>
    <i r="1">
      <x v="4"/>
    </i>
    <i r="1">
      <x v="5"/>
    </i>
    <i r="1">
      <x v="6"/>
    </i>
    <i r="1">
      <x v="7"/>
    </i>
    <i r="1">
      <x v="9"/>
    </i>
    <i r="1">
      <x v="10"/>
    </i>
    <i r="1">
      <x v="11"/>
    </i>
    <i r="1">
      <x v="12"/>
    </i>
    <i t="grand">
      <x/>
    </i>
  </rowItems>
  <colItems count="1">
    <i/>
  </colItems>
  <dataFields count="1">
    <dataField name="Sum of Total Revenue" fld="6" baseField="0" baseItem="0" numFmtId="37"/>
  </dataFields>
  <formats count="1">
    <format dxfId="10">
      <pivotArea outline="0" collapsedLevelsAreSubtotals="1" fieldPosition="0"/>
    </format>
  </formats>
  <chartFormats count="1">
    <chartFormat chart="1"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3.xml><?xml version="1.0" encoding="utf-8"?>
<pivotTableDefinition xmlns="http://schemas.openxmlformats.org/spreadsheetml/2006/main" name="PivotTable7" cacheId="4" applyNumberFormats="0" applyBorderFormats="0" applyFontFormats="0" applyPatternFormats="0" applyAlignmentFormats="0" applyWidthHeightFormats="1" dataCaption="Values" updatedVersion="6" minRefreshableVersion="5" useAutoFormatting="1" itemPrintTitles="1" createdVersion="6" indent="0" outline="1" outlineData="1" multipleFieldFilters="0">
  <location ref="A11:C19" firstHeaderRow="0" firstDataRow="1" firstDataCol="1"/>
  <pivotFields count="10">
    <pivotField axis="axisRow" showAll="0" sortType="descending">
      <items count="8">
        <item x="0"/>
        <item x="4"/>
        <item x="5"/>
        <item x="6"/>
        <item x="1"/>
        <item x="2"/>
        <item x="3"/>
        <item t="default"/>
      </items>
      <autoSortScope>
        <pivotArea dataOnly="0" outline="0" fieldPosition="0">
          <references count="1">
            <reference field="4294967294" count="1" selected="0">
              <x v="0"/>
            </reference>
          </references>
        </pivotArea>
      </autoSortScope>
    </pivotField>
    <pivotField showAll="0">
      <items count="11">
        <item x="7"/>
        <item x="0"/>
        <item x="8"/>
        <item x="1"/>
        <item x="3"/>
        <item x="2"/>
        <item x="5"/>
        <item x="4"/>
        <item x="9"/>
        <item x="6"/>
        <item t="default"/>
      </items>
    </pivotField>
    <pivotField showAll="0">
      <items count="16">
        <item x="9"/>
        <item x="3"/>
        <item x="4"/>
        <item x="2"/>
        <item x="14"/>
        <item x="7"/>
        <item x="11"/>
        <item x="1"/>
        <item x="5"/>
        <item x="8"/>
        <item x="0"/>
        <item x="13"/>
        <item x="6"/>
        <item x="12"/>
        <item x="10"/>
        <item t="default"/>
      </items>
    </pivotField>
    <pivotField numFmtId="14" showAll="0">
      <items count="15">
        <item x="0"/>
        <item x="1"/>
        <item x="2"/>
        <item x="3"/>
        <item x="4"/>
        <item x="5"/>
        <item x="6"/>
        <item x="7"/>
        <item x="8"/>
        <item x="9"/>
        <item x="10"/>
        <item x="11"/>
        <item x="12"/>
        <item x="13"/>
        <item t="default"/>
      </items>
    </pivotField>
    <pivotField dataField="1" showAll="0"/>
    <pivotField showAll="0"/>
    <pivotField dataField="1" showAll="0"/>
    <pivotField showAll="0"/>
    <pivotField showAll="0" defaultSubtotal="0">
      <items count="6">
        <item x="0"/>
        <item x="1"/>
        <item x="2"/>
        <item x="3"/>
        <item x="4"/>
        <item x="5"/>
      </items>
    </pivotField>
    <pivotField showAll="0" defaultSubtotal="0">
      <items count="5">
        <item x="0"/>
        <item x="1"/>
        <item x="2"/>
        <item x="3"/>
        <item x="4"/>
      </items>
    </pivotField>
  </pivotFields>
  <rowFields count="1">
    <field x="0"/>
  </rowFields>
  <rowItems count="8">
    <i>
      <x v="5"/>
    </i>
    <i>
      <x/>
    </i>
    <i>
      <x v="3"/>
    </i>
    <i>
      <x v="2"/>
    </i>
    <i>
      <x v="4"/>
    </i>
    <i>
      <x v="6"/>
    </i>
    <i>
      <x v="1"/>
    </i>
    <i t="grand">
      <x/>
    </i>
  </rowItems>
  <colFields count="1">
    <field x="-2"/>
  </colFields>
  <colItems count="2">
    <i>
      <x/>
    </i>
    <i i="1">
      <x v="1"/>
    </i>
  </colItems>
  <dataFields count="2">
    <dataField name="Sum of Amount in tons" fld="4" baseField="0" baseItem="0"/>
    <dataField name="Sum of Total Revenue" fld="6" baseField="0" baseItem="0"/>
  </dataFields>
  <formats count="1">
    <format dxfId="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pivotTables/pivotTable4.xml><?xml version="1.0" encoding="utf-8"?>
<pivotTableDefinition xmlns="http://schemas.openxmlformats.org/spreadsheetml/2006/main" name="PivotTable6" cacheId="4" applyNumberFormats="0" applyBorderFormats="0" applyFontFormats="0" applyPatternFormats="0" applyAlignmentFormats="0" applyWidthHeightFormats="1" dataCaption="Values" updatedVersion="6" minRefreshableVersion="5" useAutoFormatting="1" itemPrintTitles="1" createdVersion="6" indent="0" outline="1" outlineData="1" multipleFieldFilters="0">
  <location ref="A1:C9" firstHeaderRow="0" firstDataRow="1" firstDataCol="1"/>
  <pivotFields count="10">
    <pivotField axis="axisRow" showAll="0">
      <items count="8">
        <item x="0"/>
        <item x="4"/>
        <item x="5"/>
        <item x="6"/>
        <item x="1"/>
        <item x="2"/>
        <item x="3"/>
        <item t="default"/>
      </items>
    </pivotField>
    <pivotField showAll="0">
      <items count="11">
        <item x="7"/>
        <item x="0"/>
        <item x="8"/>
        <item x="1"/>
        <item x="3"/>
        <item x="2"/>
        <item x="5"/>
        <item x="4"/>
        <item x="9"/>
        <item x="6"/>
        <item t="default"/>
      </items>
    </pivotField>
    <pivotField showAll="0">
      <items count="16">
        <item x="9"/>
        <item x="3"/>
        <item x="4"/>
        <item x="2"/>
        <item x="14"/>
        <item x="7"/>
        <item x="11"/>
        <item x="1"/>
        <item x="5"/>
        <item x="8"/>
        <item x="0"/>
        <item x="13"/>
        <item x="6"/>
        <item x="12"/>
        <item x="10"/>
        <item t="default"/>
      </items>
    </pivotField>
    <pivotField numFmtId="14" showAll="0">
      <items count="15">
        <item x="0"/>
        <item x="1"/>
        <item x="2"/>
        <item x="3"/>
        <item x="4"/>
        <item x="5"/>
        <item x="6"/>
        <item x="7"/>
        <item x="8"/>
        <item x="9"/>
        <item x="10"/>
        <item x="11"/>
        <item x="12"/>
        <item x="13"/>
        <item t="default"/>
      </items>
    </pivotField>
    <pivotField dataField="1" showAll="0"/>
    <pivotField showAll="0"/>
    <pivotField dataField="1" showAll="0"/>
    <pivotField showAll="0"/>
    <pivotField showAll="0" defaultSubtotal="0">
      <items count="6">
        <item x="0"/>
        <item x="1"/>
        <item x="2"/>
        <item x="3"/>
        <item x="4"/>
        <item x="5"/>
      </items>
    </pivotField>
    <pivotField showAll="0" defaultSubtotal="0">
      <items count="5">
        <item x="0"/>
        <item x="1"/>
        <item x="2"/>
        <item x="3"/>
        <item x="4"/>
      </items>
    </pivotField>
  </pivotFields>
  <rowFields count="1">
    <field x="0"/>
  </rowFields>
  <rowItems count="8">
    <i>
      <x/>
    </i>
    <i>
      <x v="1"/>
    </i>
    <i>
      <x v="2"/>
    </i>
    <i>
      <x v="3"/>
    </i>
    <i>
      <x v="4"/>
    </i>
    <i>
      <x v="5"/>
    </i>
    <i>
      <x v="6"/>
    </i>
    <i t="grand">
      <x/>
    </i>
  </rowItems>
  <colFields count="1">
    <field x="-2"/>
  </colFields>
  <colItems count="2">
    <i>
      <x/>
    </i>
    <i i="1">
      <x v="1"/>
    </i>
  </colItems>
  <dataFields count="2">
    <dataField name="Sum of Amount in tons" fld="4" baseField="0" baseItem="0"/>
    <dataField name="Sum of Total Revenue" fld="6" baseField="0" baseItem="0"/>
  </dataFields>
  <formats count="1">
    <format dxfId="9">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Metal_Type" sourceName="Metal Type">
  <pivotTables>
    <pivotTable tabId="41" name="PivotTable6"/>
    <pivotTable tabId="42" name="PivotTable8"/>
    <pivotTable tabId="41" name="PivotTable7"/>
    <pivotTable tabId="43" name="PivotTable9"/>
  </pivotTables>
  <data>
    <tabular pivotCacheId="3">
      <items count="7">
        <i x="0" s="1"/>
        <i x="4" s="1"/>
        <i x="5" s="1"/>
        <i x="6" s="1"/>
        <i x="1" s="1"/>
        <i x="2"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Item_Type" sourceName="Item Type">
  <pivotTables>
    <pivotTable tabId="41" name="PivotTable6"/>
    <pivotTable tabId="42" name="PivotTable8"/>
    <pivotTable tabId="41" name="PivotTable7"/>
    <pivotTable tabId="43" name="PivotTable9"/>
  </pivotTables>
  <data>
    <tabular pivotCacheId="3">
      <items count="10">
        <i x="7" s="1"/>
        <i x="0" s="1"/>
        <i x="8" s="1"/>
        <i x="1" s="1"/>
        <i x="3" s="1"/>
        <i x="2" s="1"/>
        <i x="5" s="1"/>
        <i x="4" s="1"/>
        <i x="9" s="1"/>
        <i x="6"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Company" sourceName="Company">
  <pivotTables>
    <pivotTable tabId="41" name="PivotTable6"/>
    <pivotTable tabId="42" name="PivotTable8"/>
    <pivotTable tabId="41" name="PivotTable7"/>
    <pivotTable tabId="43" name="PivotTable9"/>
  </pivotTables>
  <data>
    <tabular pivotCacheId="3">
      <items count="15">
        <i x="9" s="1"/>
        <i x="3" s="1"/>
        <i x="4" s="1"/>
        <i x="2" s="1"/>
        <i x="14" s="1"/>
        <i x="7" s="1"/>
        <i x="11" s="1"/>
        <i x="1" s="1"/>
        <i x="5" s="1"/>
        <i x="8" s="1"/>
        <i x="0" s="1"/>
        <i x="13" s="1"/>
        <i x="6" s="1"/>
        <i x="12" s="1"/>
        <i x="10" s="1"/>
      </items>
    </tabular>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Years" sourceName="Years">
  <pivotTables>
    <pivotTable tabId="41" name="PivotTable6"/>
    <pivotTable tabId="42" name="PivotTable8"/>
    <pivotTable tabId="41" name="PivotTable7"/>
    <pivotTable tabId="43" name="PivotTable9"/>
  </pivotTables>
  <data>
    <tabular pivotCacheId="3">
      <items count="5">
        <i x="1" s="1"/>
        <i x="2" s="1"/>
        <i x="3" s="1"/>
        <i x="0" s="1" nd="1"/>
        <i x="4"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Metal Type" cache="Slicer_Metal_Type" caption="Metal Type" columnCount="2" rowHeight="241300"/>
  <slicer name="Item Type" cache="Slicer_Item_Type" caption="Item Type" startItem="2" columnCount="2" rowHeight="241300"/>
  <slicer name="Company" cache="Slicer_Company" caption="Company" columnCount="2" rowHeight="241300"/>
  <slicer name="Years" cache="Slicer_Years" caption="Years" columnCount="2" rowHeight="24130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imelineCaches/timelineCache1.xml><?xml version="1.0" encoding="utf-8"?>
<timelineCacheDefinition xmlns="http://schemas.microsoft.com/office/spreadsheetml/2010/11/main" xmlns:x15="http://schemas.microsoft.com/office/spreadsheetml/2010/11/main" name="NativeTimeline_Date" sourceName="Date">
  <pivotTables>
    <pivotTable tabId="41" name="PivotTable6"/>
    <pivotTable tabId="42" name="PivotTable8"/>
    <pivotTable tabId="41" name="PivotTable7"/>
    <pivotTable tabId="43" name="PivotTable9"/>
  </pivotTables>
  <state minimalRefreshVersion="6" lastRefreshVersion="6" pivotCacheId="3" filterType="unknown">
    <bounds startDate="2012-01-01T00:00:00" endDate="2015-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mc:Ignorable="x">
  <timeline name="Date" cache="NativeTimeline_Date" caption="Date" level="2" selectionLevel="2" scrollPosition="2013-07-01T00:00:00"/>
</timeline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microsoft.com/office/2011/relationships/timeline" Target="../timelines/timelin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51"/>
  <sheetViews>
    <sheetView workbookViewId="0">
      <selection activeCell="E2" sqref="E2:E51"/>
    </sheetView>
  </sheetViews>
  <sheetFormatPr defaultRowHeight="14.5" x14ac:dyDescent="0.35"/>
  <cols>
    <col min="1" max="1" width="11" bestFit="1" customWidth="1"/>
    <col min="2" max="2" width="24.453125" bestFit="1" customWidth="1"/>
    <col min="3" max="3" width="26.453125" customWidth="1"/>
    <col min="4" max="4" width="10.6328125" bestFit="1" customWidth="1"/>
    <col min="5" max="5" width="14.6328125" bestFit="1" customWidth="1"/>
    <col min="6" max="6" width="15.90625" bestFit="1" customWidth="1"/>
    <col min="7" max="7" width="13.90625" bestFit="1" customWidth="1"/>
  </cols>
  <sheetData>
    <row r="1" spans="1:8" x14ac:dyDescent="0.35">
      <c r="A1" s="1" t="s">
        <v>15</v>
      </c>
      <c r="B1" s="1" t="s">
        <v>16</v>
      </c>
      <c r="C1" s="1" t="s">
        <v>17</v>
      </c>
      <c r="D1" s="1" t="s">
        <v>18</v>
      </c>
      <c r="E1" s="2" t="s">
        <v>19</v>
      </c>
      <c r="F1" s="1" t="s">
        <v>20</v>
      </c>
      <c r="G1" s="20" t="s">
        <v>46</v>
      </c>
      <c r="H1" s="20" t="s">
        <v>49</v>
      </c>
    </row>
    <row r="2" spans="1:8" x14ac:dyDescent="0.35">
      <c r="A2" t="s">
        <v>21</v>
      </c>
      <c r="B2" t="s">
        <v>22</v>
      </c>
      <c r="C2" s="19" t="s">
        <v>10</v>
      </c>
      <c r="D2" s="3">
        <v>41306</v>
      </c>
      <c r="E2">
        <v>9</v>
      </c>
      <c r="F2">
        <v>100</v>
      </c>
      <c r="G2" s="19">
        <f>E2*F2</f>
        <v>900</v>
      </c>
      <c r="H2" s="19">
        <f>YEAR(D2)</f>
        <v>2013</v>
      </c>
    </row>
    <row r="3" spans="1:8" x14ac:dyDescent="0.35">
      <c r="A3" t="s">
        <v>23</v>
      </c>
      <c r="B3" t="s">
        <v>24</v>
      </c>
      <c r="C3" s="19" t="s">
        <v>10</v>
      </c>
      <c r="D3" s="3">
        <v>41305</v>
      </c>
      <c r="E3">
        <v>17</v>
      </c>
      <c r="F3">
        <v>15</v>
      </c>
      <c r="G3" s="19">
        <f t="shared" ref="G3:G51" si="0">E3*F3</f>
        <v>255</v>
      </c>
      <c r="H3" s="19">
        <f t="shared" ref="H3:H51" si="1">YEAR(D3)</f>
        <v>2013</v>
      </c>
    </row>
    <row r="4" spans="1:8" x14ac:dyDescent="0.35">
      <c r="A4" t="s">
        <v>21</v>
      </c>
      <c r="B4" t="s">
        <v>22</v>
      </c>
      <c r="C4" s="19" t="s">
        <v>7</v>
      </c>
      <c r="D4" s="3">
        <v>41334</v>
      </c>
      <c r="E4">
        <v>12</v>
      </c>
      <c r="F4">
        <v>50</v>
      </c>
      <c r="G4" s="19">
        <f t="shared" si="0"/>
        <v>600</v>
      </c>
      <c r="H4" s="19">
        <f t="shared" si="1"/>
        <v>2013</v>
      </c>
    </row>
    <row r="5" spans="1:8" x14ac:dyDescent="0.35">
      <c r="A5" t="s">
        <v>21</v>
      </c>
      <c r="B5" t="s">
        <v>22</v>
      </c>
      <c r="C5" s="19" t="s">
        <v>3</v>
      </c>
      <c r="D5" s="3">
        <v>41260</v>
      </c>
      <c r="E5">
        <v>24</v>
      </c>
      <c r="F5">
        <v>60</v>
      </c>
      <c r="G5" s="19">
        <f t="shared" si="0"/>
        <v>1440</v>
      </c>
      <c r="H5" s="19">
        <f t="shared" si="1"/>
        <v>2012</v>
      </c>
    </row>
    <row r="6" spans="1:8" x14ac:dyDescent="0.35">
      <c r="A6" t="s">
        <v>25</v>
      </c>
      <c r="B6" t="s">
        <v>26</v>
      </c>
      <c r="C6" s="19" t="s">
        <v>1</v>
      </c>
      <c r="D6" s="3">
        <v>40946</v>
      </c>
      <c r="E6">
        <v>20</v>
      </c>
      <c r="F6">
        <v>18</v>
      </c>
      <c r="G6" s="19">
        <f t="shared" si="0"/>
        <v>360</v>
      </c>
      <c r="H6" s="19">
        <f t="shared" si="1"/>
        <v>2012</v>
      </c>
    </row>
    <row r="7" spans="1:8" x14ac:dyDescent="0.35">
      <c r="A7" t="s">
        <v>21</v>
      </c>
      <c r="B7" t="s">
        <v>27</v>
      </c>
      <c r="C7" s="19" t="s">
        <v>2</v>
      </c>
      <c r="D7" s="3">
        <v>41400</v>
      </c>
      <c r="E7">
        <v>25</v>
      </c>
      <c r="F7">
        <v>40</v>
      </c>
      <c r="G7" s="19">
        <f t="shared" si="0"/>
        <v>1000</v>
      </c>
      <c r="H7" s="19">
        <f t="shared" si="1"/>
        <v>2013</v>
      </c>
    </row>
    <row r="8" spans="1:8" x14ac:dyDescent="0.35">
      <c r="A8" t="s">
        <v>25</v>
      </c>
      <c r="B8" t="s">
        <v>22</v>
      </c>
      <c r="C8" s="19" t="s">
        <v>8</v>
      </c>
      <c r="D8" s="3">
        <v>41501</v>
      </c>
      <c r="E8">
        <v>30</v>
      </c>
      <c r="F8">
        <v>6</v>
      </c>
      <c r="G8" s="19">
        <f t="shared" si="0"/>
        <v>180</v>
      </c>
      <c r="H8" s="19">
        <f t="shared" si="1"/>
        <v>2013</v>
      </c>
    </row>
    <row r="9" spans="1:8" x14ac:dyDescent="0.35">
      <c r="A9" t="s">
        <v>21</v>
      </c>
      <c r="B9" t="s">
        <v>27</v>
      </c>
      <c r="C9" s="19" t="s">
        <v>12</v>
      </c>
      <c r="D9" s="3">
        <v>41337</v>
      </c>
      <c r="E9">
        <v>16</v>
      </c>
      <c r="F9">
        <v>30</v>
      </c>
      <c r="G9" s="19">
        <f t="shared" si="0"/>
        <v>480</v>
      </c>
      <c r="H9" s="19">
        <f t="shared" si="1"/>
        <v>2013</v>
      </c>
    </row>
    <row r="10" spans="1:8" x14ac:dyDescent="0.35">
      <c r="A10" t="s">
        <v>28</v>
      </c>
      <c r="B10" t="s">
        <v>29</v>
      </c>
      <c r="C10" s="19" t="s">
        <v>12</v>
      </c>
      <c r="D10" s="3">
        <v>41441</v>
      </c>
      <c r="E10">
        <v>31</v>
      </c>
      <c r="F10">
        <v>25</v>
      </c>
      <c r="G10" s="19">
        <f t="shared" si="0"/>
        <v>775</v>
      </c>
      <c r="H10" s="19">
        <f t="shared" si="1"/>
        <v>2013</v>
      </c>
    </row>
    <row r="11" spans="1:8" x14ac:dyDescent="0.35">
      <c r="A11" t="s">
        <v>21</v>
      </c>
      <c r="B11" t="s">
        <v>30</v>
      </c>
      <c r="C11" s="19" t="s">
        <v>5</v>
      </c>
      <c r="D11" s="3">
        <v>41588</v>
      </c>
      <c r="E11">
        <v>44</v>
      </c>
      <c r="F11">
        <v>30</v>
      </c>
      <c r="G11" s="19">
        <f t="shared" si="0"/>
        <v>1320</v>
      </c>
      <c r="H11" s="19">
        <f t="shared" si="1"/>
        <v>2013</v>
      </c>
    </row>
    <row r="12" spans="1:8" x14ac:dyDescent="0.35">
      <c r="A12" t="s">
        <v>31</v>
      </c>
      <c r="B12" t="s">
        <v>29</v>
      </c>
      <c r="C12" s="19" t="s">
        <v>9</v>
      </c>
      <c r="D12" s="3">
        <v>41622</v>
      </c>
      <c r="E12">
        <v>22</v>
      </c>
      <c r="F12">
        <v>16</v>
      </c>
      <c r="G12" s="19">
        <f t="shared" si="0"/>
        <v>352</v>
      </c>
      <c r="H12" s="19">
        <f t="shared" si="1"/>
        <v>2013</v>
      </c>
    </row>
    <row r="13" spans="1:8" x14ac:dyDescent="0.35">
      <c r="A13" t="s">
        <v>32</v>
      </c>
      <c r="B13" t="s">
        <v>33</v>
      </c>
      <c r="C13" s="19" t="s">
        <v>0</v>
      </c>
      <c r="D13" s="3">
        <v>41378</v>
      </c>
      <c r="E13">
        <v>18</v>
      </c>
      <c r="F13">
        <v>10</v>
      </c>
      <c r="G13" s="19">
        <f t="shared" si="0"/>
        <v>180</v>
      </c>
      <c r="H13" s="19">
        <f t="shared" si="1"/>
        <v>2013</v>
      </c>
    </row>
    <row r="14" spans="1:8" x14ac:dyDescent="0.35">
      <c r="A14" t="s">
        <v>34</v>
      </c>
      <c r="B14" t="s">
        <v>29</v>
      </c>
      <c r="C14" s="19" t="s">
        <v>10</v>
      </c>
      <c r="D14" s="3">
        <v>41405</v>
      </c>
      <c r="E14">
        <v>9</v>
      </c>
      <c r="F14">
        <v>17</v>
      </c>
      <c r="G14" s="19">
        <f t="shared" si="0"/>
        <v>153</v>
      </c>
      <c r="H14" s="19">
        <f t="shared" si="1"/>
        <v>2013</v>
      </c>
    </row>
    <row r="15" spans="1:8" x14ac:dyDescent="0.35">
      <c r="A15" t="s">
        <v>28</v>
      </c>
      <c r="B15" t="s">
        <v>22</v>
      </c>
      <c r="C15" s="19" t="s">
        <v>14</v>
      </c>
      <c r="D15" s="4">
        <v>41576</v>
      </c>
      <c r="E15">
        <v>5</v>
      </c>
      <c r="F15">
        <v>59</v>
      </c>
      <c r="G15" s="19">
        <f t="shared" si="0"/>
        <v>295</v>
      </c>
      <c r="H15" s="19">
        <f t="shared" si="1"/>
        <v>2013</v>
      </c>
    </row>
    <row r="16" spans="1:8" x14ac:dyDescent="0.35">
      <c r="A16" t="s">
        <v>25</v>
      </c>
      <c r="B16" t="s">
        <v>35</v>
      </c>
      <c r="C16" s="19" t="s">
        <v>6</v>
      </c>
      <c r="D16" s="3">
        <v>41289</v>
      </c>
      <c r="E16">
        <v>33</v>
      </c>
      <c r="F16">
        <v>43</v>
      </c>
      <c r="G16" s="19">
        <f t="shared" si="0"/>
        <v>1419</v>
      </c>
      <c r="H16" s="19">
        <f t="shared" si="1"/>
        <v>2013</v>
      </c>
    </row>
    <row r="17" spans="1:8" x14ac:dyDescent="0.35">
      <c r="A17" t="s">
        <v>32</v>
      </c>
      <c r="B17" t="s">
        <v>26</v>
      </c>
      <c r="C17" s="19" t="s">
        <v>9</v>
      </c>
      <c r="D17" s="3">
        <v>41343</v>
      </c>
      <c r="E17">
        <v>28</v>
      </c>
      <c r="F17">
        <v>32</v>
      </c>
      <c r="G17" s="19">
        <f t="shared" si="0"/>
        <v>896</v>
      </c>
      <c r="H17" s="19">
        <f t="shared" si="1"/>
        <v>2013</v>
      </c>
    </row>
    <row r="18" spans="1:8" x14ac:dyDescent="0.35">
      <c r="A18" t="s">
        <v>25</v>
      </c>
      <c r="B18" t="s">
        <v>36</v>
      </c>
      <c r="C18" s="19" t="s">
        <v>13</v>
      </c>
      <c r="D18" s="3">
        <v>41498</v>
      </c>
      <c r="E18">
        <v>42</v>
      </c>
      <c r="F18">
        <v>46</v>
      </c>
      <c r="G18" s="19">
        <f t="shared" si="0"/>
        <v>1932</v>
      </c>
      <c r="H18" s="19">
        <f t="shared" si="1"/>
        <v>2013</v>
      </c>
    </row>
    <row r="19" spans="1:8" x14ac:dyDescent="0.35">
      <c r="A19" t="s">
        <v>25</v>
      </c>
      <c r="B19" t="s">
        <v>27</v>
      </c>
      <c r="C19" s="19" t="s">
        <v>11</v>
      </c>
      <c r="D19" s="3">
        <v>41592</v>
      </c>
      <c r="E19">
        <v>45</v>
      </c>
      <c r="F19">
        <v>21</v>
      </c>
      <c r="G19" s="19">
        <f t="shared" si="0"/>
        <v>945</v>
      </c>
      <c r="H19" s="19">
        <f t="shared" si="1"/>
        <v>2013</v>
      </c>
    </row>
    <row r="20" spans="1:8" x14ac:dyDescent="0.35">
      <c r="A20" t="s">
        <v>21</v>
      </c>
      <c r="B20" t="s">
        <v>24</v>
      </c>
      <c r="C20" s="19" t="s">
        <v>1</v>
      </c>
      <c r="D20" s="4">
        <v>41289</v>
      </c>
      <c r="E20">
        <v>32</v>
      </c>
      <c r="F20">
        <v>50</v>
      </c>
      <c r="G20" s="19">
        <f t="shared" si="0"/>
        <v>1600</v>
      </c>
      <c r="H20" s="19">
        <f t="shared" si="1"/>
        <v>2013</v>
      </c>
    </row>
    <row r="21" spans="1:8" x14ac:dyDescent="0.35">
      <c r="A21" t="s">
        <v>25</v>
      </c>
      <c r="B21" t="s">
        <v>37</v>
      </c>
      <c r="C21" s="19" t="s">
        <v>7</v>
      </c>
      <c r="D21" s="3">
        <v>41528</v>
      </c>
      <c r="E21">
        <v>40</v>
      </c>
      <c r="F21">
        <v>22</v>
      </c>
      <c r="G21" s="19">
        <f t="shared" si="0"/>
        <v>880</v>
      </c>
      <c r="H21" s="19">
        <f t="shared" si="1"/>
        <v>2013</v>
      </c>
    </row>
    <row r="22" spans="1:8" x14ac:dyDescent="0.35">
      <c r="A22" t="s">
        <v>25</v>
      </c>
      <c r="B22" t="s">
        <v>22</v>
      </c>
      <c r="C22" s="19" t="s">
        <v>10</v>
      </c>
      <c r="D22" s="3">
        <v>41262</v>
      </c>
      <c r="E22">
        <v>21</v>
      </c>
      <c r="F22">
        <v>4</v>
      </c>
      <c r="G22" s="19">
        <f t="shared" si="0"/>
        <v>84</v>
      </c>
      <c r="H22" s="19">
        <f t="shared" si="1"/>
        <v>2012</v>
      </c>
    </row>
    <row r="23" spans="1:8" x14ac:dyDescent="0.35">
      <c r="A23" t="s">
        <v>23</v>
      </c>
      <c r="B23" t="s">
        <v>27</v>
      </c>
      <c r="C23" s="19" t="s">
        <v>5</v>
      </c>
      <c r="D23" s="3">
        <v>41283</v>
      </c>
      <c r="E23">
        <v>33</v>
      </c>
      <c r="F23">
        <v>49</v>
      </c>
      <c r="G23" s="19">
        <f t="shared" si="0"/>
        <v>1617</v>
      </c>
      <c r="H23" s="19">
        <f t="shared" si="1"/>
        <v>2013</v>
      </c>
    </row>
    <row r="24" spans="1:8" x14ac:dyDescent="0.35">
      <c r="A24" t="s">
        <v>32</v>
      </c>
      <c r="B24" t="s">
        <v>33</v>
      </c>
      <c r="C24" s="19" t="s">
        <v>0</v>
      </c>
      <c r="D24" s="3">
        <v>41365</v>
      </c>
      <c r="E24">
        <v>8</v>
      </c>
      <c r="F24">
        <v>9</v>
      </c>
      <c r="G24" s="19">
        <f t="shared" si="0"/>
        <v>72</v>
      </c>
      <c r="H24" s="19">
        <f t="shared" si="1"/>
        <v>2013</v>
      </c>
    </row>
    <row r="25" spans="1:8" x14ac:dyDescent="0.35">
      <c r="A25" t="s">
        <v>34</v>
      </c>
      <c r="B25" t="s">
        <v>35</v>
      </c>
      <c r="C25" s="19" t="s">
        <v>4</v>
      </c>
      <c r="D25" s="3">
        <v>41519</v>
      </c>
      <c r="E25">
        <v>35</v>
      </c>
      <c r="F25">
        <v>10</v>
      </c>
      <c r="G25" s="19">
        <f t="shared" si="0"/>
        <v>350</v>
      </c>
      <c r="H25" s="19">
        <f t="shared" si="1"/>
        <v>2013</v>
      </c>
    </row>
    <row r="26" spans="1:8" x14ac:dyDescent="0.35">
      <c r="A26" t="s">
        <v>34</v>
      </c>
      <c r="B26" t="s">
        <v>35</v>
      </c>
      <c r="C26" s="19" t="s">
        <v>1</v>
      </c>
      <c r="D26" s="3">
        <v>41713</v>
      </c>
      <c r="E26">
        <v>32</v>
      </c>
      <c r="F26">
        <v>6</v>
      </c>
      <c r="G26" s="19">
        <f t="shared" si="0"/>
        <v>192</v>
      </c>
      <c r="H26" s="19">
        <f t="shared" si="1"/>
        <v>2014</v>
      </c>
    </row>
    <row r="27" spans="1:8" x14ac:dyDescent="0.35">
      <c r="A27" t="s">
        <v>21</v>
      </c>
      <c r="B27" t="s">
        <v>22</v>
      </c>
      <c r="C27" s="19" t="s">
        <v>10</v>
      </c>
      <c r="D27" s="3">
        <v>41671</v>
      </c>
      <c r="E27">
        <v>13</v>
      </c>
      <c r="F27">
        <v>36</v>
      </c>
      <c r="G27" s="19">
        <f t="shared" si="0"/>
        <v>468</v>
      </c>
      <c r="H27" s="19">
        <f t="shared" si="1"/>
        <v>2014</v>
      </c>
    </row>
    <row r="28" spans="1:8" x14ac:dyDescent="0.35">
      <c r="A28" t="s">
        <v>23</v>
      </c>
      <c r="B28" t="s">
        <v>24</v>
      </c>
      <c r="C28" s="19" t="s">
        <v>10</v>
      </c>
      <c r="D28" s="3">
        <v>41729</v>
      </c>
      <c r="E28">
        <v>14</v>
      </c>
      <c r="F28">
        <v>35</v>
      </c>
      <c r="G28" s="19">
        <f t="shared" si="0"/>
        <v>490</v>
      </c>
      <c r="H28" s="19">
        <f t="shared" si="1"/>
        <v>2014</v>
      </c>
    </row>
    <row r="29" spans="1:8" x14ac:dyDescent="0.35">
      <c r="A29" t="s">
        <v>21</v>
      </c>
      <c r="B29" t="s">
        <v>22</v>
      </c>
      <c r="C29" s="19" t="s">
        <v>7</v>
      </c>
      <c r="D29" s="3">
        <v>41740</v>
      </c>
      <c r="E29">
        <v>49</v>
      </c>
      <c r="F29">
        <v>69</v>
      </c>
      <c r="G29" s="19">
        <f t="shared" si="0"/>
        <v>3381</v>
      </c>
      <c r="H29" s="19">
        <f t="shared" si="1"/>
        <v>2014</v>
      </c>
    </row>
    <row r="30" spans="1:8" x14ac:dyDescent="0.35">
      <c r="A30" t="s">
        <v>21</v>
      </c>
      <c r="B30" t="s">
        <v>22</v>
      </c>
      <c r="C30" s="19" t="s">
        <v>3</v>
      </c>
      <c r="D30" s="3">
        <v>41927</v>
      </c>
      <c r="E30">
        <v>10</v>
      </c>
      <c r="F30">
        <v>33</v>
      </c>
      <c r="G30" s="19">
        <f t="shared" si="0"/>
        <v>330</v>
      </c>
      <c r="H30" s="19">
        <f t="shared" si="1"/>
        <v>2014</v>
      </c>
    </row>
    <row r="31" spans="1:8" x14ac:dyDescent="0.35">
      <c r="A31" t="s">
        <v>25</v>
      </c>
      <c r="B31" t="s">
        <v>26</v>
      </c>
      <c r="C31" s="19" t="s">
        <v>1</v>
      </c>
      <c r="D31" s="3">
        <v>41685</v>
      </c>
      <c r="E31">
        <v>37</v>
      </c>
      <c r="F31">
        <v>41</v>
      </c>
      <c r="G31" s="19">
        <f t="shared" si="0"/>
        <v>1517</v>
      </c>
      <c r="H31" s="19">
        <f t="shared" si="1"/>
        <v>2014</v>
      </c>
    </row>
    <row r="32" spans="1:8" x14ac:dyDescent="0.35">
      <c r="A32" t="s">
        <v>21</v>
      </c>
      <c r="B32" t="s">
        <v>27</v>
      </c>
      <c r="C32" s="19" t="s">
        <v>2</v>
      </c>
      <c r="D32" s="3">
        <v>41680</v>
      </c>
      <c r="E32">
        <v>3</v>
      </c>
      <c r="F32">
        <v>46</v>
      </c>
      <c r="G32" s="19">
        <f t="shared" si="0"/>
        <v>138</v>
      </c>
      <c r="H32" s="19">
        <f t="shared" si="1"/>
        <v>2014</v>
      </c>
    </row>
    <row r="33" spans="1:8" x14ac:dyDescent="0.35">
      <c r="A33" t="s">
        <v>25</v>
      </c>
      <c r="B33" t="s">
        <v>22</v>
      </c>
      <c r="C33" s="19" t="s">
        <v>8</v>
      </c>
      <c r="D33" s="3">
        <v>41894</v>
      </c>
      <c r="E33">
        <v>18</v>
      </c>
      <c r="F33">
        <v>36</v>
      </c>
      <c r="G33" s="19">
        <f t="shared" si="0"/>
        <v>648</v>
      </c>
      <c r="H33" s="19">
        <f t="shared" si="1"/>
        <v>2014</v>
      </c>
    </row>
    <row r="34" spans="1:8" x14ac:dyDescent="0.35">
      <c r="A34" t="s">
        <v>21</v>
      </c>
      <c r="B34" t="s">
        <v>27</v>
      </c>
      <c r="C34" s="19" t="s">
        <v>12</v>
      </c>
      <c r="D34" s="3">
        <v>41947</v>
      </c>
      <c r="E34">
        <v>17</v>
      </c>
      <c r="F34">
        <v>53</v>
      </c>
      <c r="G34" s="19">
        <f t="shared" si="0"/>
        <v>901</v>
      </c>
      <c r="H34" s="19">
        <f t="shared" si="1"/>
        <v>2014</v>
      </c>
    </row>
    <row r="35" spans="1:8" x14ac:dyDescent="0.35">
      <c r="A35" t="s">
        <v>28</v>
      </c>
      <c r="B35" t="s">
        <v>29</v>
      </c>
      <c r="C35" s="19" t="s">
        <v>12</v>
      </c>
      <c r="D35" s="3">
        <v>41806</v>
      </c>
      <c r="E35">
        <v>21</v>
      </c>
      <c r="F35">
        <v>78</v>
      </c>
      <c r="G35" s="19">
        <f t="shared" si="0"/>
        <v>1638</v>
      </c>
      <c r="H35" s="19">
        <f t="shared" si="1"/>
        <v>2014</v>
      </c>
    </row>
    <row r="36" spans="1:8" x14ac:dyDescent="0.35">
      <c r="A36" t="s">
        <v>21</v>
      </c>
      <c r="B36" t="s">
        <v>30</v>
      </c>
      <c r="C36" s="19" t="s">
        <v>5</v>
      </c>
      <c r="D36" s="3">
        <v>41680</v>
      </c>
      <c r="E36">
        <v>31</v>
      </c>
      <c r="F36">
        <v>87</v>
      </c>
      <c r="G36" s="19">
        <f t="shared" si="0"/>
        <v>2697</v>
      </c>
      <c r="H36" s="19">
        <f t="shared" si="1"/>
        <v>2014</v>
      </c>
    </row>
    <row r="37" spans="1:8" x14ac:dyDescent="0.35">
      <c r="A37" t="s">
        <v>31</v>
      </c>
      <c r="B37" t="s">
        <v>29</v>
      </c>
      <c r="C37" s="19" t="s">
        <v>9</v>
      </c>
      <c r="D37" s="3">
        <v>41704</v>
      </c>
      <c r="E37">
        <v>18</v>
      </c>
      <c r="F37">
        <v>17</v>
      </c>
      <c r="G37" s="19">
        <f t="shared" si="0"/>
        <v>306</v>
      </c>
      <c r="H37" s="19">
        <f t="shared" si="1"/>
        <v>2014</v>
      </c>
    </row>
    <row r="38" spans="1:8" x14ac:dyDescent="0.35">
      <c r="A38" t="s">
        <v>32</v>
      </c>
      <c r="B38" t="s">
        <v>33</v>
      </c>
      <c r="C38" s="19" t="s">
        <v>0</v>
      </c>
      <c r="D38" s="3">
        <v>41672</v>
      </c>
      <c r="E38">
        <v>15</v>
      </c>
      <c r="F38">
        <v>15</v>
      </c>
      <c r="G38" s="19">
        <f t="shared" si="0"/>
        <v>225</v>
      </c>
      <c r="H38" s="19">
        <f t="shared" si="1"/>
        <v>2014</v>
      </c>
    </row>
    <row r="39" spans="1:8" x14ac:dyDescent="0.35">
      <c r="A39" t="s">
        <v>34</v>
      </c>
      <c r="B39" t="s">
        <v>29</v>
      </c>
      <c r="C39" s="19" t="s">
        <v>10</v>
      </c>
      <c r="D39" s="3">
        <v>41915</v>
      </c>
      <c r="E39">
        <v>47</v>
      </c>
      <c r="F39">
        <v>32</v>
      </c>
      <c r="G39" s="19">
        <f t="shared" si="0"/>
        <v>1504</v>
      </c>
      <c r="H39" s="19">
        <f t="shared" si="1"/>
        <v>2014</v>
      </c>
    </row>
    <row r="40" spans="1:8" x14ac:dyDescent="0.35">
      <c r="A40" t="s">
        <v>28</v>
      </c>
      <c r="B40" t="s">
        <v>22</v>
      </c>
      <c r="C40" s="19" t="s">
        <v>14</v>
      </c>
      <c r="D40" s="4">
        <v>41887</v>
      </c>
      <c r="E40">
        <v>11</v>
      </c>
      <c r="F40">
        <v>63</v>
      </c>
      <c r="G40" s="19">
        <f t="shared" si="0"/>
        <v>693</v>
      </c>
      <c r="H40" s="19">
        <f t="shared" si="1"/>
        <v>2014</v>
      </c>
    </row>
    <row r="41" spans="1:8" x14ac:dyDescent="0.35">
      <c r="A41" t="s">
        <v>25</v>
      </c>
      <c r="B41" t="s">
        <v>35</v>
      </c>
      <c r="C41" s="19" t="s">
        <v>6</v>
      </c>
      <c r="D41" s="3">
        <v>41684</v>
      </c>
      <c r="E41">
        <v>30</v>
      </c>
      <c r="F41">
        <v>72</v>
      </c>
      <c r="G41" s="19">
        <f t="shared" si="0"/>
        <v>2160</v>
      </c>
      <c r="H41" s="19">
        <f t="shared" si="1"/>
        <v>2014</v>
      </c>
    </row>
    <row r="42" spans="1:8" x14ac:dyDescent="0.35">
      <c r="A42" t="s">
        <v>32</v>
      </c>
      <c r="B42" t="s">
        <v>26</v>
      </c>
      <c r="C42" s="19" t="s">
        <v>9</v>
      </c>
      <c r="D42" s="3">
        <v>41784</v>
      </c>
      <c r="E42">
        <v>32</v>
      </c>
      <c r="F42">
        <v>49</v>
      </c>
      <c r="G42" s="19">
        <f t="shared" si="0"/>
        <v>1568</v>
      </c>
      <c r="H42" s="19">
        <f t="shared" si="1"/>
        <v>2014</v>
      </c>
    </row>
    <row r="43" spans="1:8" x14ac:dyDescent="0.35">
      <c r="A43" t="s">
        <v>25</v>
      </c>
      <c r="B43" t="s">
        <v>36</v>
      </c>
      <c r="C43" s="19" t="s">
        <v>13</v>
      </c>
      <c r="D43" s="3">
        <v>41715</v>
      </c>
      <c r="E43">
        <v>32</v>
      </c>
      <c r="F43">
        <v>49</v>
      </c>
      <c r="G43" s="19">
        <f t="shared" si="0"/>
        <v>1568</v>
      </c>
      <c r="H43" s="19">
        <f t="shared" si="1"/>
        <v>2014</v>
      </c>
    </row>
    <row r="44" spans="1:8" x14ac:dyDescent="0.35">
      <c r="A44" t="s">
        <v>25</v>
      </c>
      <c r="B44" t="s">
        <v>27</v>
      </c>
      <c r="C44" s="19" t="s">
        <v>11</v>
      </c>
      <c r="D44" s="3">
        <v>41827</v>
      </c>
      <c r="E44">
        <v>50</v>
      </c>
      <c r="F44">
        <v>34</v>
      </c>
      <c r="G44" s="19">
        <f t="shared" si="0"/>
        <v>1700</v>
      </c>
      <c r="H44" s="19">
        <f t="shared" si="1"/>
        <v>2014</v>
      </c>
    </row>
    <row r="45" spans="1:8" x14ac:dyDescent="0.35">
      <c r="A45" t="s">
        <v>21</v>
      </c>
      <c r="B45" t="s">
        <v>24</v>
      </c>
      <c r="C45" s="19" t="s">
        <v>1</v>
      </c>
      <c r="D45" s="4">
        <v>41715</v>
      </c>
      <c r="E45">
        <v>8</v>
      </c>
      <c r="F45">
        <v>79</v>
      </c>
      <c r="G45" s="19">
        <f t="shared" si="0"/>
        <v>632</v>
      </c>
      <c r="H45" s="19">
        <f t="shared" si="1"/>
        <v>2014</v>
      </c>
    </row>
    <row r="46" spans="1:8" x14ac:dyDescent="0.35">
      <c r="A46" t="s">
        <v>25</v>
      </c>
      <c r="B46" t="s">
        <v>37</v>
      </c>
      <c r="C46" s="19" t="s">
        <v>7</v>
      </c>
      <c r="D46" s="3">
        <v>41640</v>
      </c>
      <c r="E46">
        <v>19</v>
      </c>
      <c r="F46">
        <v>90</v>
      </c>
      <c r="G46" s="19">
        <f t="shared" si="0"/>
        <v>1710</v>
      </c>
      <c r="H46" s="19">
        <f t="shared" si="1"/>
        <v>2014</v>
      </c>
    </row>
    <row r="47" spans="1:8" x14ac:dyDescent="0.35">
      <c r="A47" t="s">
        <v>25</v>
      </c>
      <c r="B47" t="s">
        <v>22</v>
      </c>
      <c r="C47" s="19" t="s">
        <v>10</v>
      </c>
      <c r="D47" s="3">
        <v>41902</v>
      </c>
      <c r="E47">
        <v>15</v>
      </c>
      <c r="F47">
        <v>66</v>
      </c>
      <c r="G47" s="19">
        <f t="shared" si="0"/>
        <v>990</v>
      </c>
      <c r="H47" s="19">
        <f t="shared" si="1"/>
        <v>2014</v>
      </c>
    </row>
    <row r="48" spans="1:8" x14ac:dyDescent="0.35">
      <c r="A48" t="s">
        <v>23</v>
      </c>
      <c r="B48" t="s">
        <v>27</v>
      </c>
      <c r="C48" s="19" t="s">
        <v>5</v>
      </c>
      <c r="D48" s="3">
        <v>41910</v>
      </c>
      <c r="E48">
        <v>46</v>
      </c>
      <c r="F48">
        <v>59</v>
      </c>
      <c r="G48" s="19">
        <f t="shared" si="0"/>
        <v>2714</v>
      </c>
      <c r="H48" s="19">
        <f t="shared" si="1"/>
        <v>2014</v>
      </c>
    </row>
    <row r="49" spans="1:8" x14ac:dyDescent="0.35">
      <c r="A49" t="s">
        <v>32</v>
      </c>
      <c r="B49" t="s">
        <v>33</v>
      </c>
      <c r="C49" s="19" t="s">
        <v>0</v>
      </c>
      <c r="D49" s="3">
        <v>41796</v>
      </c>
      <c r="E49">
        <v>48</v>
      </c>
      <c r="F49">
        <v>33</v>
      </c>
      <c r="G49" s="19">
        <f t="shared" si="0"/>
        <v>1584</v>
      </c>
      <c r="H49" s="19">
        <f t="shared" si="1"/>
        <v>2014</v>
      </c>
    </row>
    <row r="50" spans="1:8" x14ac:dyDescent="0.35">
      <c r="A50" t="s">
        <v>34</v>
      </c>
      <c r="B50" t="s">
        <v>35</v>
      </c>
      <c r="C50" s="19" t="s">
        <v>4</v>
      </c>
      <c r="D50" s="3">
        <v>41829</v>
      </c>
      <c r="E50">
        <v>5</v>
      </c>
      <c r="F50">
        <v>48</v>
      </c>
      <c r="G50" s="19">
        <f t="shared" si="0"/>
        <v>240</v>
      </c>
      <c r="H50" s="19">
        <f t="shared" si="1"/>
        <v>2014</v>
      </c>
    </row>
    <row r="51" spans="1:8" x14ac:dyDescent="0.35">
      <c r="A51" t="s">
        <v>34</v>
      </c>
      <c r="B51" t="s">
        <v>35</v>
      </c>
      <c r="C51" s="19" t="s">
        <v>1</v>
      </c>
      <c r="D51" s="3">
        <v>41988</v>
      </c>
      <c r="E51">
        <v>36</v>
      </c>
      <c r="F51">
        <v>90</v>
      </c>
      <c r="G51" s="19">
        <f t="shared" si="0"/>
        <v>3240</v>
      </c>
      <c r="H51" s="19">
        <f t="shared" si="1"/>
        <v>2014</v>
      </c>
    </row>
  </sheetData>
  <autoFilter ref="A1:H5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AE37"/>
  <sheetViews>
    <sheetView topLeftCell="N1" zoomScaleNormal="100" workbookViewId="0">
      <selection activeCell="AC1" sqref="AC1"/>
    </sheetView>
  </sheetViews>
  <sheetFormatPr defaultRowHeight="14.5" x14ac:dyDescent="0.35"/>
  <cols>
    <col min="1" max="1" width="2.6328125" customWidth="1"/>
    <col min="2" max="2" width="25.54296875" customWidth="1"/>
    <col min="3" max="4" width="9.36328125" bestFit="1" customWidth="1"/>
    <col min="5" max="5" width="10.90625" bestFit="1" customWidth="1"/>
    <col min="6" max="6" width="12.36328125" bestFit="1" customWidth="1"/>
    <col min="7" max="8" width="2.6328125" customWidth="1"/>
    <col min="9" max="9" width="25.54296875" customWidth="1"/>
    <col min="10" max="11" width="9.36328125" customWidth="1"/>
    <col min="12" max="12" width="10.90625" customWidth="1"/>
    <col min="13" max="13" width="12.08984375" bestFit="1" customWidth="1"/>
    <col min="14" max="15" width="2.6328125" customWidth="1"/>
    <col min="16" max="16" width="25.54296875" customWidth="1"/>
    <col min="17" max="18" width="9.36328125" customWidth="1"/>
    <col min="19" max="19" width="10.90625" customWidth="1"/>
    <col min="20" max="20" width="12.08984375" bestFit="1" customWidth="1"/>
    <col min="21" max="22" width="2.6328125" customWidth="1"/>
    <col min="23" max="23" width="9.90625" bestFit="1" customWidth="1"/>
    <col min="28" max="28" width="2.6328125" customWidth="1"/>
    <col min="30" max="30" width="9.453125" bestFit="1" customWidth="1"/>
    <col min="31" max="31" width="10.453125" bestFit="1" customWidth="1"/>
  </cols>
  <sheetData>
    <row r="1" spans="2:31" x14ac:dyDescent="0.35">
      <c r="B1" s="13" t="s">
        <v>39</v>
      </c>
      <c r="C1" s="13"/>
      <c r="D1" s="13"/>
      <c r="E1" s="13"/>
      <c r="F1" s="6"/>
      <c r="I1" s="13" t="s">
        <v>51</v>
      </c>
      <c r="J1" s="13"/>
      <c r="K1" s="13"/>
      <c r="L1" s="13"/>
      <c r="M1" s="6"/>
      <c r="N1" s="1"/>
      <c r="P1" s="13" t="s">
        <v>52</v>
      </c>
      <c r="Q1" s="13"/>
      <c r="R1" s="13"/>
      <c r="S1" s="13"/>
      <c r="T1" s="6"/>
      <c r="U1" s="1"/>
      <c r="V1" s="1"/>
      <c r="W1" s="1"/>
      <c r="X1" s="1"/>
      <c r="AC1">
        <v>2014</v>
      </c>
      <c r="AD1" t="s">
        <v>50</v>
      </c>
    </row>
    <row r="2" spans="2:31" x14ac:dyDescent="0.35">
      <c r="B2" s="6"/>
      <c r="C2" s="6"/>
      <c r="D2" s="6"/>
      <c r="E2" s="6"/>
      <c r="F2" s="6"/>
      <c r="I2" s="6"/>
      <c r="J2" s="6"/>
      <c r="K2" s="6"/>
      <c r="L2" s="6"/>
      <c r="M2" s="6"/>
      <c r="P2" s="6"/>
      <c r="Q2" s="6"/>
      <c r="R2" s="6"/>
      <c r="S2" s="6"/>
      <c r="T2" s="6"/>
      <c r="AD2">
        <v>2012</v>
      </c>
    </row>
    <row r="3" spans="2:31" x14ac:dyDescent="0.35">
      <c r="B3" s="14" t="str">
        <f>"Year(s): "&amp;Charts!$A$2</f>
        <v>Year(s): 2013</v>
      </c>
      <c r="C3" s="14"/>
      <c r="D3" s="14"/>
      <c r="E3" s="14"/>
      <c r="F3" s="6"/>
      <c r="I3" s="14" t="str">
        <f>"Year(s): "&amp;Charts!$A$2</f>
        <v>Year(s): 2013</v>
      </c>
      <c r="J3" s="14"/>
      <c r="K3" s="14"/>
      <c r="L3" s="14"/>
      <c r="M3" s="6"/>
      <c r="P3" s="14" t="str">
        <f>"Year(s): "&amp;Charts!$A$2</f>
        <v>Year(s): 2013</v>
      </c>
      <c r="Q3" s="14"/>
      <c r="R3" s="14"/>
      <c r="S3" s="14"/>
      <c r="T3" s="6"/>
      <c r="AD3">
        <v>2013</v>
      </c>
    </row>
    <row r="4" spans="2:31" x14ac:dyDescent="0.35">
      <c r="AD4">
        <v>2014</v>
      </c>
    </row>
    <row r="5" spans="2:31" x14ac:dyDescent="0.35">
      <c r="B5" s="8" t="str">
        <f>"("&amp;1&amp;")"</f>
        <v>(1)</v>
      </c>
      <c r="C5" s="8" t="str">
        <f>"("&amp;-B5+1&amp;")"</f>
        <v>(2)</v>
      </c>
      <c r="D5" s="8" t="str">
        <f>"("&amp;-C5+1&amp;")"</f>
        <v>(3)</v>
      </c>
      <c r="E5" s="8" t="str">
        <f>"("&amp;-D5+1&amp;")"</f>
        <v>(4)</v>
      </c>
      <c r="F5" s="8" t="str">
        <f>"("&amp;-E5+1&amp;")"</f>
        <v>(5)</v>
      </c>
      <c r="I5" s="8" t="str">
        <f>"("&amp;1&amp;")"</f>
        <v>(1)</v>
      </c>
      <c r="J5" s="8" t="str">
        <f>"("&amp;-I5+1&amp;")"</f>
        <v>(2)</v>
      </c>
      <c r="K5" s="8" t="str">
        <f>"("&amp;-J5+1&amp;")"</f>
        <v>(3)</v>
      </c>
      <c r="L5" s="8" t="str">
        <f>"("&amp;-K5+1&amp;")"</f>
        <v>(4)</v>
      </c>
      <c r="M5" s="8" t="str">
        <f>"("&amp;-L5+1&amp;")"</f>
        <v>(5)</v>
      </c>
      <c r="P5" s="8" t="str">
        <f>"("&amp;1&amp;")"</f>
        <v>(1)</v>
      </c>
      <c r="Q5" s="8" t="str">
        <f>"("&amp;-P5+1&amp;")"</f>
        <v>(2)</v>
      </c>
      <c r="R5" s="8" t="str">
        <f>"("&amp;-Q5+1&amp;")"</f>
        <v>(3)</v>
      </c>
      <c r="S5" s="8" t="str">
        <f>"("&amp;-R5+1&amp;")"</f>
        <v>(4)</v>
      </c>
      <c r="T5" s="8" t="str">
        <f>"("&amp;-S5+1&amp;")"</f>
        <v>(5)</v>
      </c>
    </row>
    <row r="6" spans="2:31" x14ac:dyDescent="0.35">
      <c r="B6" s="8"/>
      <c r="C6" s="8"/>
      <c r="D6" s="8"/>
      <c r="E6" s="8"/>
      <c r="F6" s="8" t="s">
        <v>47</v>
      </c>
      <c r="I6" s="8"/>
      <c r="J6" s="8"/>
      <c r="K6" s="8"/>
      <c r="L6" s="8"/>
      <c r="M6" s="8" t="s">
        <v>47</v>
      </c>
      <c r="P6" s="8"/>
      <c r="Q6" s="8"/>
      <c r="R6" s="8"/>
      <c r="S6" s="8"/>
      <c r="T6" s="8" t="s">
        <v>47</v>
      </c>
    </row>
    <row r="7" spans="2:31" x14ac:dyDescent="0.35">
      <c r="B7" s="8"/>
      <c r="C7" s="8"/>
      <c r="D7" s="8"/>
      <c r="E7" s="8" t="s">
        <v>42</v>
      </c>
      <c r="F7" s="8" t="s">
        <v>38</v>
      </c>
      <c r="I7" s="8"/>
      <c r="J7" s="8"/>
      <c r="K7" s="8"/>
      <c r="L7" s="8" t="s">
        <v>42</v>
      </c>
      <c r="M7" s="8" t="s">
        <v>38</v>
      </c>
      <c r="P7" s="8"/>
      <c r="Q7" s="8"/>
      <c r="R7" s="8"/>
      <c r="S7" s="8" t="s">
        <v>42</v>
      </c>
      <c r="T7" s="8" t="s">
        <v>38</v>
      </c>
      <c r="X7" s="5" t="s">
        <v>68</v>
      </c>
      <c r="Y7" s="5"/>
      <c r="Z7" s="5" t="s">
        <v>69</v>
      </c>
      <c r="AA7" s="5"/>
    </row>
    <row r="8" spans="2:31" x14ac:dyDescent="0.35">
      <c r="B8" s="8"/>
      <c r="C8" s="8" t="s">
        <v>41</v>
      </c>
      <c r="D8" s="8" t="s">
        <v>38</v>
      </c>
      <c r="E8" s="9" t="s">
        <v>45</v>
      </c>
      <c r="F8" s="9" t="s">
        <v>42</v>
      </c>
      <c r="I8" s="8"/>
      <c r="J8" s="8" t="s">
        <v>41</v>
      </c>
      <c r="K8" s="8" t="s">
        <v>38</v>
      </c>
      <c r="L8" s="9" t="s">
        <v>45</v>
      </c>
      <c r="M8" s="9" t="s">
        <v>42</v>
      </c>
      <c r="P8" s="8"/>
      <c r="Q8" s="8" t="s">
        <v>41</v>
      </c>
      <c r="R8" s="8" t="s">
        <v>38</v>
      </c>
      <c r="S8" s="9" t="s">
        <v>45</v>
      </c>
      <c r="T8" s="9" t="s">
        <v>42</v>
      </c>
      <c r="X8" s="8" t="s">
        <v>41</v>
      </c>
      <c r="Y8" s="8" t="s">
        <v>38</v>
      </c>
      <c r="Z8" s="8" t="s">
        <v>41</v>
      </c>
      <c r="AA8" s="8" t="s">
        <v>38</v>
      </c>
      <c r="AB8" s="8"/>
    </row>
    <row r="9" spans="2:31" x14ac:dyDescent="0.35">
      <c r="B9" s="10" t="s">
        <v>44</v>
      </c>
      <c r="C9" s="10" t="s">
        <v>40</v>
      </c>
      <c r="D9" s="10" t="s">
        <v>42</v>
      </c>
      <c r="E9" s="10" t="str">
        <f>"("&amp;-$D$5&amp;")/("&amp;-$C$5&amp;")"</f>
        <v>(3)/(2)</v>
      </c>
      <c r="F9" s="10" t="str">
        <f>"("&amp;-$D$5&amp;")/[("&amp;-$D$5&amp;") Total]"</f>
        <v>(3)/[(3) Total]</v>
      </c>
      <c r="I9" s="10" t="s">
        <v>44</v>
      </c>
      <c r="J9" s="10" t="s">
        <v>40</v>
      </c>
      <c r="K9" s="10" t="s">
        <v>42</v>
      </c>
      <c r="L9" s="10" t="str">
        <f>"("&amp;-$D$5&amp;")/("&amp;-$C$5&amp;")"</f>
        <v>(3)/(2)</v>
      </c>
      <c r="M9" s="10" t="str">
        <f>"("&amp;-$D$5&amp;")/[("&amp;-$D$5&amp;") Total]"</f>
        <v>(3)/[(3) Total]</v>
      </c>
      <c r="P9" s="10" t="s">
        <v>44</v>
      </c>
      <c r="Q9" s="10" t="s">
        <v>40</v>
      </c>
      <c r="R9" s="10" t="s">
        <v>42</v>
      </c>
      <c r="S9" s="10" t="str">
        <f>"("&amp;-$D$5&amp;")/("&amp;-$C$5&amp;")"</f>
        <v>(3)/(2)</v>
      </c>
      <c r="T9" s="10" t="str">
        <f>"("&amp;-$D$5&amp;")/[("&amp;-$D$5&amp;") Total]"</f>
        <v>(3)/[(3) Total]</v>
      </c>
      <c r="W9" s="10" t="s">
        <v>53</v>
      </c>
      <c r="X9" s="10" t="s">
        <v>40</v>
      </c>
      <c r="Y9" s="10" t="s">
        <v>42</v>
      </c>
      <c r="Z9" s="10" t="s">
        <v>40</v>
      </c>
      <c r="AA9" s="10" t="s">
        <v>42</v>
      </c>
      <c r="AB9" s="10"/>
      <c r="AD9" s="10" t="s">
        <v>66</v>
      </c>
      <c r="AE9" s="10" t="s">
        <v>67</v>
      </c>
    </row>
    <row r="10" spans="2:31" x14ac:dyDescent="0.35">
      <c r="B10" s="10"/>
      <c r="C10" s="10"/>
      <c r="D10" s="10"/>
      <c r="E10" s="10"/>
      <c r="I10" s="10"/>
      <c r="J10" s="10"/>
      <c r="K10" s="10"/>
      <c r="L10" s="10"/>
      <c r="P10" s="10"/>
      <c r="Q10" s="10"/>
      <c r="R10" s="10"/>
      <c r="S10" s="10"/>
    </row>
    <row r="11" spans="2:31" x14ac:dyDescent="0.35">
      <c r="B11" t="s">
        <v>21</v>
      </c>
      <c r="C11" s="11">
        <f>SUMIFS(Data!E:E,Data!$A:$A,$B11,Data!$H:$H,Charts!$A$2)</f>
        <v>138</v>
      </c>
      <c r="D11" s="12">
        <f>SUMIFS(Data!G:G,Data!$A:$A,$B11,Data!$H:$H,Charts!$A$2)</f>
        <v>5900</v>
      </c>
      <c r="E11" s="12">
        <f t="shared" ref="E11:E17" si="0">IF(C11=0,0,D11/C11)</f>
        <v>42.753623188405797</v>
      </c>
      <c r="F11" s="17">
        <f t="shared" ref="F11:F17" si="1">D11/$D$19</f>
        <v>0.36417505092278252</v>
      </c>
      <c r="I11" t="s">
        <v>35</v>
      </c>
      <c r="J11" s="11">
        <f>SUMIFS(Data!E:E,Data!$B:$B,$I11,Data!$H:$H,Charts!$A$2)</f>
        <v>68</v>
      </c>
      <c r="K11" s="12">
        <f>SUMIFS(Data!G:G,Data!$B:$B,$I11,Data!$H:$H,Charts!$A$2)</f>
        <v>1769</v>
      </c>
      <c r="L11" s="12">
        <f t="shared" ref="L11:L20" si="2">IF(J11=0,0,K11/J11)</f>
        <v>26.014705882352942</v>
      </c>
      <c r="M11" s="17">
        <f>K11/$K$22</f>
        <v>0.10919079069193259</v>
      </c>
      <c r="P11" t="s">
        <v>0</v>
      </c>
      <c r="Q11" s="11">
        <f>SUMIFS(Data!E:E,Data!$C:$C,$P11,Data!$H:$H,Charts!$A$2)</f>
        <v>26</v>
      </c>
      <c r="R11" s="12">
        <f>SUMIFS(Data!G:G,Data!$C:$C,$P11,Data!$H:$H,Charts!$A$2)</f>
        <v>252</v>
      </c>
      <c r="S11" s="12">
        <f t="shared" ref="S11:S25" si="3">IF(Q11=0,0,R11/Q11)</f>
        <v>9.6923076923076916</v>
      </c>
      <c r="T11" s="17">
        <f>R11/$R$27</f>
        <v>1.5554595395345967E-2</v>
      </c>
      <c r="W11" t="s">
        <v>54</v>
      </c>
      <c r="X11" s="11">
        <f t="array" ref="X11">SUM(IF(Data!$D$2:$D$51&gt;=$AD11,Data!$E$2:$E$51,0))-SUM(IF(Data!$D$2:$D$51&gt;=$AD12,Data!$E$2:$E$51,0))</f>
        <v>115</v>
      </c>
      <c r="Y11" s="12">
        <f t="array" ref="Y11">SUM(IF(Data!$D$2:$D$51&gt;=$AD11,Data!$G$2:$G$51,0))-SUM(IF(Data!$D$2:$D$51&gt;=$AD12,Data!$G$2:$G$51,0))</f>
        <v>4891</v>
      </c>
      <c r="Z11" s="11">
        <f>SUM($X$11:$X11)</f>
        <v>115</v>
      </c>
      <c r="AA11" s="12">
        <f>SUM($Y$11:$Y11)</f>
        <v>4891</v>
      </c>
      <c r="AB11" s="12"/>
      <c r="AD11" s="3">
        <f>DATE(Charts!$A$2,1,1)</f>
        <v>41275</v>
      </c>
      <c r="AE11" s="3">
        <f>DATE(Charts!$A$2,1,31)</f>
        <v>41305</v>
      </c>
    </row>
    <row r="12" spans="2:31" x14ac:dyDescent="0.35">
      <c r="B12" t="s">
        <v>31</v>
      </c>
      <c r="C12" s="11">
        <f>SUMIFS(Data!E:E,Data!$A:$A,$B12,Data!$H:$H,Charts!$A$2)</f>
        <v>22</v>
      </c>
      <c r="D12" s="11">
        <f>SUMIFS(Data!G:G,Data!$A:$A,$B12,Data!$H:$H,Charts!$A$2)</f>
        <v>352</v>
      </c>
      <c r="E12" s="11">
        <f t="shared" si="0"/>
        <v>16</v>
      </c>
      <c r="F12" s="17">
        <f t="shared" si="1"/>
        <v>2.1727053885562619E-2</v>
      </c>
      <c r="I12" t="s">
        <v>22</v>
      </c>
      <c r="J12" s="11">
        <f>SUMIFS(Data!E:E,Data!$B:$B,$I12,Data!$H:$H,Charts!$A$2)</f>
        <v>56</v>
      </c>
      <c r="K12" s="11">
        <f>SUMIFS(Data!G:G,Data!$B:$B,$I12,Data!$H:$H,Charts!$A$2)</f>
        <v>1975</v>
      </c>
      <c r="L12" s="11">
        <f t="shared" si="2"/>
        <v>35.267857142857146</v>
      </c>
      <c r="M12" s="17">
        <f t="shared" ref="M12:M22" si="4">K12/$K$22</f>
        <v>0.1219060551817789</v>
      </c>
      <c r="P12" t="s">
        <v>1</v>
      </c>
      <c r="Q12" s="11">
        <f>SUMIFS(Data!E:E,Data!$C:$C,$P12,Data!$H:$H,Charts!$A$2)</f>
        <v>32</v>
      </c>
      <c r="R12" s="11">
        <f>SUMIFS(Data!G:G,Data!$C:$C,$P12,Data!$H:$H,Charts!$A$2)</f>
        <v>1600</v>
      </c>
      <c r="S12" s="11">
        <f t="shared" si="3"/>
        <v>50</v>
      </c>
      <c r="T12" s="17">
        <f t="shared" ref="T12:T27" si="5">R12/$R$27</f>
        <v>9.8759335843466453E-2</v>
      </c>
      <c r="W12" t="s">
        <v>55</v>
      </c>
      <c r="X12" s="11">
        <f t="array" ref="X12">SUM(IF(Data!$D$2:$D$51&gt;=$AD12,Data!$E$2:$E$51,0))-SUM(IF(Data!$D$2:$D$51&gt;=$AD13,Data!$E$2:$E$51,0))</f>
        <v>9</v>
      </c>
      <c r="Y12" s="11">
        <f t="array" ref="Y12">SUM(IF(Data!$D$2:$D$51&gt;=$AD12,Data!$G$2:$G$51,0))-SUM(IF(Data!$D$2:$D$51&gt;=$AD13,Data!$G$2:$G$51,0))</f>
        <v>900</v>
      </c>
      <c r="Z12" s="11">
        <f>SUM($X$11:$X12)</f>
        <v>124</v>
      </c>
      <c r="AA12" s="11">
        <f>SUM($Y$11:$Y12)</f>
        <v>5791</v>
      </c>
      <c r="AB12" s="11"/>
      <c r="AD12" s="3">
        <f>DATE(Charts!$A$2,2,1)</f>
        <v>41306</v>
      </c>
      <c r="AE12" s="3">
        <f>DATE(Charts!$A$2,2,28)</f>
        <v>41333</v>
      </c>
    </row>
    <row r="13" spans="2:31" x14ac:dyDescent="0.35">
      <c r="B13" t="s">
        <v>32</v>
      </c>
      <c r="C13" s="11">
        <f>SUMIFS(Data!E:E,Data!$A:$A,$B13,Data!$H:$H,Charts!$A$2)</f>
        <v>54</v>
      </c>
      <c r="D13" s="11">
        <f>SUMIFS(Data!G:G,Data!$A:$A,$B13,Data!$H:$H,Charts!$A$2)</f>
        <v>1148</v>
      </c>
      <c r="E13" s="11">
        <f t="shared" si="0"/>
        <v>21.25925925925926</v>
      </c>
      <c r="F13" s="17">
        <f t="shared" si="1"/>
        <v>7.0859823467687183E-2</v>
      </c>
      <c r="I13" t="s">
        <v>36</v>
      </c>
      <c r="J13" s="11">
        <f>SUMIFS(Data!E:E,Data!$B:$B,$I13,Data!$H:$H,Charts!$A$2)</f>
        <v>42</v>
      </c>
      <c r="K13" s="11">
        <f>SUMIFS(Data!G:G,Data!$B:$B,$I13,Data!$H:$H,Charts!$A$2)</f>
        <v>1932</v>
      </c>
      <c r="L13" s="11">
        <f t="shared" si="2"/>
        <v>46</v>
      </c>
      <c r="M13" s="17">
        <f t="shared" si="4"/>
        <v>0.11925189803098574</v>
      </c>
      <c r="P13" t="s">
        <v>2</v>
      </c>
      <c r="Q13" s="11">
        <f>SUMIFS(Data!E:E,Data!$C:$C,$P13,Data!$H:$H,Charts!$A$2)</f>
        <v>25</v>
      </c>
      <c r="R13" s="11">
        <f>SUMIFS(Data!G:G,Data!$C:$C,$P13,Data!$H:$H,Charts!$A$2)</f>
        <v>1000</v>
      </c>
      <c r="S13" s="11">
        <f t="shared" si="3"/>
        <v>40</v>
      </c>
      <c r="T13" s="17">
        <f t="shared" si="5"/>
        <v>6.1724584902166535E-2</v>
      </c>
      <c r="W13" t="s">
        <v>56</v>
      </c>
      <c r="X13" s="11">
        <f t="array" ref="X13">SUM(IF(Data!$D$2:$D$51&gt;=$AD13,Data!$E$2:$E$51,0))-SUM(IF(Data!$D$2:$D$51&gt;=$AD14,Data!$E$2:$E$51,0))</f>
        <v>56</v>
      </c>
      <c r="Y13" s="11">
        <f t="array" ref="Y13">SUM(IF(Data!$D$2:$D$51&gt;=$AD13,Data!$G$2:$G$51,0))-SUM(IF(Data!$D$2:$D$51&gt;=$AD14,Data!$G$2:$G$51,0))</f>
        <v>1976</v>
      </c>
      <c r="Z13" s="11">
        <f>SUM($X$11:$X13)</f>
        <v>180</v>
      </c>
      <c r="AA13" s="11">
        <f>SUM($Y$11:$Y13)</f>
        <v>7767</v>
      </c>
      <c r="AB13" s="11"/>
      <c r="AD13" s="3">
        <f>DATE(Charts!$A$2,3,1)</f>
        <v>41334</v>
      </c>
      <c r="AE13" s="3">
        <f>DATE(Charts!$A$2,3,31)</f>
        <v>41364</v>
      </c>
    </row>
    <row r="14" spans="2:31" x14ac:dyDescent="0.35">
      <c r="B14" t="s">
        <v>34</v>
      </c>
      <c r="C14" s="11">
        <f>SUMIFS(Data!E:E,Data!$A:$A,$B14,Data!$H:$H,Charts!$A$2)</f>
        <v>44</v>
      </c>
      <c r="D14" s="11">
        <f>SUMIFS(Data!G:G,Data!$A:$A,$B14,Data!$H:$H,Charts!$A$2)</f>
        <v>503</v>
      </c>
      <c r="E14" s="11">
        <f t="shared" si="0"/>
        <v>11.431818181818182</v>
      </c>
      <c r="F14" s="17">
        <f t="shared" si="1"/>
        <v>3.1047466205789766E-2</v>
      </c>
      <c r="I14" t="s">
        <v>24</v>
      </c>
      <c r="J14" s="11">
        <f>SUMIFS(Data!E:E,Data!$B:$B,$I14,Data!$H:$H,Charts!$A$2)</f>
        <v>49</v>
      </c>
      <c r="K14" s="11">
        <f>SUMIFS(Data!G:G,Data!$B:$B,$I14,Data!$H:$H,Charts!$A$2)</f>
        <v>1855</v>
      </c>
      <c r="L14" s="11">
        <f t="shared" si="2"/>
        <v>37.857142857142854</v>
      </c>
      <c r="M14" s="17">
        <f t="shared" si="4"/>
        <v>0.11449910499351892</v>
      </c>
      <c r="P14" t="s">
        <v>3</v>
      </c>
      <c r="Q14" s="11">
        <f>SUMIFS(Data!E:E,Data!$C:$C,$P14,Data!$H:$H,Charts!$A$2)</f>
        <v>0</v>
      </c>
      <c r="R14" s="11">
        <f>SUMIFS(Data!G:G,Data!$C:$C,$P14,Data!$H:$H,Charts!$A$2)</f>
        <v>0</v>
      </c>
      <c r="S14" s="11">
        <f t="shared" si="3"/>
        <v>0</v>
      </c>
      <c r="T14" s="17">
        <f t="shared" si="5"/>
        <v>0</v>
      </c>
      <c r="W14" t="s">
        <v>57</v>
      </c>
      <c r="X14" s="11">
        <f t="array" ref="X14">SUM(IF(Data!$D$2:$D$51&gt;=$AD14,Data!$E$2:$E$51,0))-SUM(IF(Data!$D$2:$D$51&gt;=$AD15,Data!$E$2:$E$51,0))</f>
        <v>26</v>
      </c>
      <c r="Y14" s="11">
        <f t="array" ref="Y14">SUM(IF(Data!$D$2:$D$51&gt;=$AD14,Data!$G$2:$G$51,0))-SUM(IF(Data!$D$2:$D$51&gt;=$AD15,Data!$G$2:$G$51,0))</f>
        <v>252</v>
      </c>
      <c r="Z14" s="11">
        <f>SUM($X$11:$X14)</f>
        <v>206</v>
      </c>
      <c r="AA14" s="11">
        <f>SUM($Y$11:$Y14)</f>
        <v>8019</v>
      </c>
      <c r="AB14" s="11"/>
      <c r="AD14" s="3">
        <f>DATE(Charts!$A$2,4,1)</f>
        <v>41365</v>
      </c>
      <c r="AE14" s="3">
        <f>DATE(Charts!$A$2,4,30)</f>
        <v>41394</v>
      </c>
    </row>
    <row r="15" spans="2:31" x14ac:dyDescent="0.35">
      <c r="B15" t="s">
        <v>23</v>
      </c>
      <c r="C15" s="11">
        <f>SUMIFS(Data!E:E,Data!$A:$A,$B15,Data!$H:$H,Charts!$A$2)</f>
        <v>50</v>
      </c>
      <c r="D15" s="11">
        <f>SUMIFS(Data!G:G,Data!$A:$A,$B15,Data!$H:$H,Charts!$A$2)</f>
        <v>1872</v>
      </c>
      <c r="E15" s="11">
        <f t="shared" si="0"/>
        <v>37.44</v>
      </c>
      <c r="F15" s="17">
        <f t="shared" si="1"/>
        <v>0.11554842293685574</v>
      </c>
      <c r="I15" t="s">
        <v>27</v>
      </c>
      <c r="J15" s="11">
        <f>SUMIFS(Data!E:E,Data!$B:$B,$I15,Data!$H:$H,Charts!$A$2)</f>
        <v>119</v>
      </c>
      <c r="K15" s="11">
        <f>SUMIFS(Data!G:G,Data!$B:$B,$I15,Data!$H:$H,Charts!$A$2)</f>
        <v>4042</v>
      </c>
      <c r="L15" s="11">
        <f t="shared" si="2"/>
        <v>33.966386554621849</v>
      </c>
      <c r="M15" s="17">
        <f t="shared" si="4"/>
        <v>0.24949077217455712</v>
      </c>
      <c r="P15" t="s">
        <v>4</v>
      </c>
      <c r="Q15" s="11">
        <f>SUMIFS(Data!E:E,Data!$C:$C,$P15,Data!$H:$H,Charts!$A$2)</f>
        <v>35</v>
      </c>
      <c r="R15" s="11">
        <f>SUMIFS(Data!G:G,Data!$C:$C,$P15,Data!$H:$H,Charts!$A$2)</f>
        <v>350</v>
      </c>
      <c r="S15" s="11">
        <f t="shared" si="3"/>
        <v>10</v>
      </c>
      <c r="T15" s="17">
        <f t="shared" si="5"/>
        <v>2.1603604715758288E-2</v>
      </c>
      <c r="W15" t="s">
        <v>58</v>
      </c>
      <c r="X15" s="11">
        <f t="array" ref="X15">SUM(IF(Data!$D$2:$D$51&gt;=$AD15,Data!$E$2:$E$51,0))-SUM(IF(Data!$D$2:$D$51&gt;=$AD16,Data!$E$2:$E$51,0))</f>
        <v>34</v>
      </c>
      <c r="Y15" s="11">
        <f t="array" ref="Y15">SUM(IF(Data!$D$2:$D$51&gt;=$AD15,Data!$G$2:$G$51,0))-SUM(IF(Data!$D$2:$D$51&gt;=$AD16,Data!$G$2:$G$51,0))</f>
        <v>1153</v>
      </c>
      <c r="Z15" s="11">
        <f>SUM($X$11:$X15)</f>
        <v>240</v>
      </c>
      <c r="AA15" s="11">
        <f>SUM($Y$11:$Y15)</f>
        <v>9172</v>
      </c>
      <c r="AB15" s="11"/>
      <c r="AD15" s="3">
        <f>DATE(Charts!$A$2,5,1)</f>
        <v>41395</v>
      </c>
      <c r="AE15" s="3">
        <f>DATE(Charts!$A$2,5,31)</f>
        <v>41425</v>
      </c>
    </row>
    <row r="16" spans="2:31" x14ac:dyDescent="0.35">
      <c r="B16" t="s">
        <v>25</v>
      </c>
      <c r="C16" s="11">
        <f>SUMIFS(Data!E:E,Data!$A:$A,$B16,Data!$H:$H,Charts!$A$2)</f>
        <v>190</v>
      </c>
      <c r="D16" s="11">
        <f>SUMIFS(Data!G:G,Data!$A:$A,$B16,Data!$H:$H,Charts!$A$2)</f>
        <v>5356</v>
      </c>
      <c r="E16" s="11">
        <f t="shared" si="0"/>
        <v>28.189473684210526</v>
      </c>
      <c r="F16" s="17">
        <f t="shared" si="1"/>
        <v>0.33059687673600396</v>
      </c>
      <c r="I16" t="s">
        <v>26</v>
      </c>
      <c r="J16" s="11">
        <f>SUMIFS(Data!E:E,Data!$B:$B,$I16,Data!$H:$H,Charts!$A$2)</f>
        <v>28</v>
      </c>
      <c r="K16" s="11">
        <f>SUMIFS(Data!G:G,Data!$B:$B,$I16,Data!$H:$H,Charts!$A$2)</f>
        <v>896</v>
      </c>
      <c r="L16" s="11">
        <f t="shared" si="2"/>
        <v>32</v>
      </c>
      <c r="M16" s="17">
        <f t="shared" si="4"/>
        <v>5.5305228072341214E-2</v>
      </c>
      <c r="P16" t="s">
        <v>5</v>
      </c>
      <c r="Q16" s="11">
        <f>SUMIFS(Data!E:E,Data!$C:$C,$P16,Data!$H:$H,Charts!$A$2)</f>
        <v>77</v>
      </c>
      <c r="R16" s="11">
        <f>SUMIFS(Data!G:G,Data!$C:$C,$P16,Data!$H:$H,Charts!$A$2)</f>
        <v>2937</v>
      </c>
      <c r="S16" s="11">
        <f t="shared" si="3"/>
        <v>38.142857142857146</v>
      </c>
      <c r="T16" s="17">
        <f t="shared" si="5"/>
        <v>0.18128510585766311</v>
      </c>
      <c r="W16" t="s">
        <v>59</v>
      </c>
      <c r="X16" s="11">
        <f t="array" ref="X16">SUM(IF(Data!$D$2:$D$51&gt;=$AD16,Data!$E$2:$E$51,0))-SUM(IF(Data!$D$2:$D$51&gt;=$AD17,Data!$E$2:$E$51,0))</f>
        <v>31</v>
      </c>
      <c r="Y16" s="11">
        <f t="array" ref="Y16">SUM(IF(Data!$D$2:$D$51&gt;=$AD16,Data!$G$2:$G$51,0))-SUM(IF(Data!$D$2:$D$51&gt;=$AD17,Data!$G$2:$G$51,0))</f>
        <v>775</v>
      </c>
      <c r="Z16" s="11">
        <f>SUM($X$11:$X16)</f>
        <v>271</v>
      </c>
      <c r="AA16" s="11">
        <f>SUM($Y$11:$Y16)</f>
        <v>9947</v>
      </c>
      <c r="AB16" s="11"/>
      <c r="AD16" s="3">
        <f>DATE(Charts!$A$2,6,1)</f>
        <v>41426</v>
      </c>
      <c r="AE16" s="3">
        <f>DATE(Charts!$A$2,6,30)</f>
        <v>41455</v>
      </c>
    </row>
    <row r="17" spans="1:31" x14ac:dyDescent="0.35">
      <c r="B17" t="s">
        <v>28</v>
      </c>
      <c r="C17" s="15">
        <f>SUMIFS(Data!E:E,Data!$A:$A,$B17,Data!$H:$H,Charts!$A$2)</f>
        <v>36</v>
      </c>
      <c r="D17" s="15">
        <f>SUMIFS(Data!G:G,Data!$A:$A,$B17,Data!$H:$H,Charts!$A$2)</f>
        <v>1070</v>
      </c>
      <c r="E17" s="11">
        <f t="shared" si="0"/>
        <v>29.722222222222221</v>
      </c>
      <c r="F17" s="17">
        <f t="shared" si="1"/>
        <v>6.6045305845318189E-2</v>
      </c>
      <c r="I17" t="s">
        <v>30</v>
      </c>
      <c r="J17" s="11">
        <f>SUMIFS(Data!E:E,Data!$B:$B,$I17,Data!$H:$H,Charts!$A$2)</f>
        <v>44</v>
      </c>
      <c r="K17" s="11">
        <f>SUMIFS(Data!G:G,Data!$B:$B,$I17,Data!$H:$H,Charts!$A$2)</f>
        <v>1320</v>
      </c>
      <c r="L17" s="11">
        <f t="shared" si="2"/>
        <v>30</v>
      </c>
      <c r="M17" s="17">
        <f t="shared" si="4"/>
        <v>8.1476452070859823E-2</v>
      </c>
      <c r="P17" t="s">
        <v>6</v>
      </c>
      <c r="Q17" s="11">
        <f>SUMIFS(Data!E:E,Data!$C:$C,$P17,Data!$H:$H,Charts!$A$2)</f>
        <v>33</v>
      </c>
      <c r="R17" s="11">
        <f>SUMIFS(Data!G:G,Data!$C:$C,$P17,Data!$H:$H,Charts!$A$2)</f>
        <v>1419</v>
      </c>
      <c r="S17" s="11">
        <f t="shared" si="3"/>
        <v>43</v>
      </c>
      <c r="T17" s="17">
        <f t="shared" si="5"/>
        <v>8.7587185976174306E-2</v>
      </c>
      <c r="W17" t="s">
        <v>60</v>
      </c>
      <c r="X17" s="11">
        <f t="array" ref="X17">SUM(IF(Data!$D$2:$D$51&gt;=$AD17,Data!$E$2:$E$51,0))-SUM(IF(Data!$D$2:$D$51&gt;=$AD18,Data!$E$2:$E$51,0))</f>
        <v>0</v>
      </c>
      <c r="Y17" s="11">
        <f t="array" ref="Y17">SUM(IF(Data!$D$2:$D$51&gt;=$AD17,Data!$G$2:$G$51,0))-SUM(IF(Data!$D$2:$D$51&gt;=$AD18,Data!$G$2:$G$51,0))</f>
        <v>0</v>
      </c>
      <c r="Z17" s="11">
        <f>SUM($X$11:$X17)</f>
        <v>271</v>
      </c>
      <c r="AA17" s="11">
        <f>SUM($Y$11:$Y17)</f>
        <v>9947</v>
      </c>
      <c r="AB17" s="11"/>
      <c r="AD17" s="3">
        <f>DATE(Charts!$A$2,7,1)</f>
        <v>41456</v>
      </c>
      <c r="AE17" s="3">
        <f>DATE(Charts!$A$2,7,31)</f>
        <v>41486</v>
      </c>
    </row>
    <row r="18" spans="1:31" x14ac:dyDescent="0.35">
      <c r="C18" s="11"/>
      <c r="D18" s="11"/>
      <c r="E18" s="11"/>
      <c r="I18" t="s">
        <v>29</v>
      </c>
      <c r="J18" s="11">
        <f>SUMIFS(Data!E:E,Data!$B:$B,$I18,Data!$H:$H,Charts!$A$2)</f>
        <v>62</v>
      </c>
      <c r="K18" s="11">
        <f>SUMIFS(Data!G:G,Data!$B:$B,$I18,Data!$H:$H,Charts!$A$2)</f>
        <v>1280</v>
      </c>
      <c r="L18" s="11">
        <f t="shared" si="2"/>
        <v>20.64516129032258</v>
      </c>
      <c r="M18" s="17">
        <f t="shared" si="4"/>
        <v>7.9007468674773165E-2</v>
      </c>
      <c r="P18" t="s">
        <v>7</v>
      </c>
      <c r="Q18" s="11">
        <f>SUMIFS(Data!E:E,Data!$C:$C,$P18,Data!$H:$H,Charts!$A$2)</f>
        <v>52</v>
      </c>
      <c r="R18" s="11">
        <f>SUMIFS(Data!G:G,Data!$C:$C,$P18,Data!$H:$H,Charts!$A$2)</f>
        <v>1480</v>
      </c>
      <c r="S18" s="11">
        <f t="shared" si="3"/>
        <v>28.46153846153846</v>
      </c>
      <c r="T18" s="17">
        <f t="shared" si="5"/>
        <v>9.1352385655206467E-2</v>
      </c>
      <c r="W18" t="s">
        <v>61</v>
      </c>
      <c r="X18" s="11">
        <f t="array" ref="X18">SUM(IF(Data!$D$2:$D$51&gt;=$AD18,Data!$E$2:$E$51,0))-SUM(IF(Data!$D$2:$D$51&gt;=$AD19,Data!$E$2:$E$51,0))</f>
        <v>72</v>
      </c>
      <c r="Y18" s="11">
        <f t="array" ref="Y18">SUM(IF(Data!$D$2:$D$51&gt;=$AD18,Data!$G$2:$G$51,0))-SUM(IF(Data!$D$2:$D$51&gt;=$AD19,Data!$G$2:$G$51,0))</f>
        <v>2112</v>
      </c>
      <c r="Z18" s="11">
        <f>SUM($X$11:$X18)</f>
        <v>343</v>
      </c>
      <c r="AA18" s="11">
        <f>SUM($Y$11:$Y18)</f>
        <v>12059</v>
      </c>
      <c r="AB18" s="11"/>
      <c r="AD18" s="3">
        <f>DATE(Charts!$A$2,8,1)</f>
        <v>41487</v>
      </c>
      <c r="AE18" s="3">
        <f>DATE(Charts!$A$2,8,31)</f>
        <v>41517</v>
      </c>
    </row>
    <row r="19" spans="1:31" x14ac:dyDescent="0.35">
      <c r="B19" t="s">
        <v>38</v>
      </c>
      <c r="C19" s="11">
        <f>SUM(C11:C18)</f>
        <v>534</v>
      </c>
      <c r="D19" s="12">
        <f>SUM(D11:D18)</f>
        <v>16201</v>
      </c>
      <c r="E19" s="12">
        <f>D19/C19</f>
        <v>30.338951310861422</v>
      </c>
      <c r="F19" s="17">
        <f>D19/$D$19</f>
        <v>1</v>
      </c>
      <c r="I19" t="s">
        <v>37</v>
      </c>
      <c r="J19" s="11">
        <f>SUMIFS(Data!E:E,Data!$B:$B,$I19,Data!$H:$H,Charts!$A$2)</f>
        <v>40</v>
      </c>
      <c r="K19" s="11">
        <f>SUMIFS(Data!G:G,Data!$B:$B,$I19,Data!$H:$H,Charts!$A$2)</f>
        <v>880</v>
      </c>
      <c r="L19" s="11">
        <f t="shared" si="2"/>
        <v>22</v>
      </c>
      <c r="M19" s="17">
        <f t="shared" si="4"/>
        <v>5.4317634713906549E-2</v>
      </c>
      <c r="P19" t="s">
        <v>8</v>
      </c>
      <c r="Q19" s="11">
        <f>SUMIFS(Data!E:E,Data!$C:$C,$P19,Data!$H:$H,Charts!$A$2)</f>
        <v>30</v>
      </c>
      <c r="R19" s="11">
        <f>SUMIFS(Data!G:G,Data!$C:$C,$P19,Data!$H:$H,Charts!$A$2)</f>
        <v>180</v>
      </c>
      <c r="S19" s="11">
        <f t="shared" si="3"/>
        <v>6</v>
      </c>
      <c r="T19" s="17">
        <f t="shared" si="5"/>
        <v>1.1110425282389976E-2</v>
      </c>
      <c r="W19" t="s">
        <v>62</v>
      </c>
      <c r="X19" s="11">
        <f t="array" ref="X19">SUM(IF(Data!$D$2:$D$51&gt;=$AD19,Data!$E$2:$E$51,0))-SUM(IF(Data!$D$2:$D$51&gt;=$AD20,Data!$E$2:$E$51,0))</f>
        <v>75</v>
      </c>
      <c r="Y19" s="11">
        <f t="array" ref="Y19">SUM(IF(Data!$D$2:$D$51&gt;=$AD19,Data!$G$2:$G$51,0))-SUM(IF(Data!$D$2:$D$51&gt;=$AD20,Data!$G$2:$G$51,0))</f>
        <v>1230</v>
      </c>
      <c r="Z19" s="11">
        <f>SUM($X$11:$X19)</f>
        <v>418</v>
      </c>
      <c r="AA19" s="11">
        <f>SUM($Y$11:$Y19)</f>
        <v>13289</v>
      </c>
      <c r="AB19" s="11"/>
      <c r="AD19" s="3">
        <f>DATE(Charts!$A$2,9,1)</f>
        <v>41518</v>
      </c>
      <c r="AE19" s="3">
        <f>DATE(Charts!$A$2,9,30)</f>
        <v>41547</v>
      </c>
    </row>
    <row r="20" spans="1:31" x14ac:dyDescent="0.35">
      <c r="C20" s="11"/>
      <c r="D20" s="11"/>
      <c r="E20" s="11"/>
      <c r="I20" t="s">
        <v>33</v>
      </c>
      <c r="J20" s="15">
        <f>SUMIFS(Data!E:E,Data!$B:$B,$I20,Data!$H:$H,Charts!$A$2)</f>
        <v>26</v>
      </c>
      <c r="K20" s="15">
        <f>SUMIFS(Data!G:G,Data!$B:$B,$I20,Data!$H:$H,Charts!$A$2)</f>
        <v>252</v>
      </c>
      <c r="L20" s="11">
        <f t="shared" si="2"/>
        <v>9.6923076923076916</v>
      </c>
      <c r="M20" s="17">
        <f t="shared" si="4"/>
        <v>1.5554595395345967E-2</v>
      </c>
      <c r="P20" t="s">
        <v>9</v>
      </c>
      <c r="Q20" s="11">
        <f>SUMIFS(Data!E:E,Data!$C:$C,$P20,Data!$H:$H,Charts!$A$2)</f>
        <v>50</v>
      </c>
      <c r="R20" s="11">
        <f>SUMIFS(Data!G:G,Data!$C:$C,$P20,Data!$H:$H,Charts!$A$2)</f>
        <v>1248</v>
      </c>
      <c r="S20" s="11">
        <f t="shared" si="3"/>
        <v>24.96</v>
      </c>
      <c r="T20" s="17">
        <f t="shared" si="5"/>
        <v>7.7032281957903834E-2</v>
      </c>
      <c r="W20" t="s">
        <v>63</v>
      </c>
      <c r="X20" s="11">
        <f t="array" ref="X20">SUM(IF(Data!$D$2:$D$51&gt;=$AD20,Data!$E$2:$E$51,0))-SUM(IF(Data!$D$2:$D$51&gt;=$AD21,Data!$E$2:$E$51,0))</f>
        <v>5</v>
      </c>
      <c r="Y20" s="11">
        <f t="array" ref="Y20">SUM(IF(Data!$D$2:$D$51&gt;=$AD20,Data!$G$2:$G$51,0))-SUM(IF(Data!$D$2:$D$51&gt;=$AD21,Data!$G$2:$G$51,0))</f>
        <v>295</v>
      </c>
      <c r="Z20" s="11">
        <f>SUM($X$11:$X20)</f>
        <v>423</v>
      </c>
      <c r="AA20" s="11">
        <f>SUM($Y$11:$Y20)</f>
        <v>13584</v>
      </c>
      <c r="AB20" s="11"/>
      <c r="AD20" s="3">
        <f>DATE(Charts!$A$2,10,1)</f>
        <v>41548</v>
      </c>
      <c r="AE20" s="3">
        <f>DATE(Charts!$A$2,10,31)</f>
        <v>41578</v>
      </c>
    </row>
    <row r="21" spans="1:31" x14ac:dyDescent="0.35">
      <c r="A21" s="16" t="s">
        <v>43</v>
      </c>
      <c r="C21" s="11"/>
      <c r="D21" s="11"/>
      <c r="E21" s="11"/>
      <c r="J21" s="11"/>
      <c r="K21" s="11"/>
      <c r="L21" s="11"/>
      <c r="P21" t="s">
        <v>10</v>
      </c>
      <c r="Q21" s="11">
        <f>SUMIFS(Data!E:E,Data!$C:$C,$P21,Data!$H:$H,Charts!$A$2)</f>
        <v>35</v>
      </c>
      <c r="R21" s="11">
        <f>SUMIFS(Data!G:G,Data!$C:$C,$P21,Data!$H:$H,Charts!$A$2)</f>
        <v>1308</v>
      </c>
      <c r="S21" s="11">
        <f t="shared" si="3"/>
        <v>37.371428571428574</v>
      </c>
      <c r="T21" s="17">
        <f t="shared" si="5"/>
        <v>8.0735757052033827E-2</v>
      </c>
      <c r="W21" t="s">
        <v>64</v>
      </c>
      <c r="X21" s="11">
        <f t="array" ref="X21">SUM(IF(Data!$D$2:$D$51&gt;=$AD21,Data!$E$2:$E$51,0))-SUM(IF(Data!$D$2:$D$51&gt;=$AD22,Data!$E$2:$E$51,0))</f>
        <v>89</v>
      </c>
      <c r="Y21" s="11">
        <f t="array" ref="Y21">SUM(IF(Data!$D$2:$D$51&gt;=$AD21,Data!$G$2:$G$51,0))-SUM(IF(Data!$D$2:$D$51&gt;=$AD22,Data!$G$2:$G$51,0))</f>
        <v>2265</v>
      </c>
      <c r="Z21" s="11">
        <f>SUM($X$11:$X21)</f>
        <v>512</v>
      </c>
      <c r="AA21" s="11">
        <f>SUM($Y$11:$Y21)</f>
        <v>15849</v>
      </c>
      <c r="AB21" s="11"/>
      <c r="AD21" s="3">
        <f>DATE(Charts!$A$2,11,1)</f>
        <v>41579</v>
      </c>
      <c r="AE21" s="3">
        <f>DATE(Charts!$A$2,11,30)</f>
        <v>41608</v>
      </c>
    </row>
    <row r="22" spans="1:31" x14ac:dyDescent="0.35">
      <c r="A22" s="7" t="s">
        <v>48</v>
      </c>
      <c r="B22" s="7" t="str">
        <f>INDEX($B$11:$B$17,MATCH(MIN($D$11:$D$17),$D$11:$D$17,0))&amp;" has the least revenue in "&amp;Charts!$A$2&amp;"."</f>
        <v>Brass has the least revenue in 2013.</v>
      </c>
      <c r="C22" s="11"/>
      <c r="D22" s="11"/>
      <c r="E22" s="11"/>
      <c r="I22" t="s">
        <v>38</v>
      </c>
      <c r="J22" s="11">
        <f>SUM(J11:J21)</f>
        <v>534</v>
      </c>
      <c r="K22" s="12">
        <f>SUM(K11:K21)</f>
        <v>16201</v>
      </c>
      <c r="L22" s="12">
        <f>K22/J22</f>
        <v>30.338951310861422</v>
      </c>
      <c r="M22" s="17">
        <f t="shared" si="4"/>
        <v>1</v>
      </c>
      <c r="P22" t="s">
        <v>11</v>
      </c>
      <c r="Q22" s="11">
        <f>SUMIFS(Data!E:E,Data!$C:$C,$P22,Data!$H:$H,Charts!$A$2)</f>
        <v>45</v>
      </c>
      <c r="R22" s="11">
        <f>SUMIFS(Data!G:G,Data!$C:$C,$P22,Data!$H:$H,Charts!$A$2)</f>
        <v>945</v>
      </c>
      <c r="S22" s="11">
        <f t="shared" si="3"/>
        <v>21</v>
      </c>
      <c r="T22" s="17">
        <f t="shared" si="5"/>
        <v>5.8329732732547372E-2</v>
      </c>
      <c r="W22" t="s">
        <v>65</v>
      </c>
      <c r="X22" s="11">
        <f t="array" ref="X22">SUM(IF(Data!$D$2:$D$51&gt;=$AD22,Data!$E$2:$E$51,0))-SUM(IF(Data!$D$2:$D$51&gt;=$AD23,Data!$E$2:$E$51,0))</f>
        <v>22</v>
      </c>
      <c r="Y22" s="11">
        <f t="array" ref="Y22">SUM(IF(Data!$D$2:$D$51&gt;=$AD22,Data!$G$2:$G$51,0))-SUM(IF(Data!$D$2:$D$51&gt;=$AD23,Data!$G$2:$G$51,0))</f>
        <v>352</v>
      </c>
      <c r="Z22" s="11">
        <f>SUM($X$11:$X22)</f>
        <v>534</v>
      </c>
      <c r="AA22" s="11">
        <f>SUM($Y$11:$Y22)</f>
        <v>16201</v>
      </c>
      <c r="AB22" s="11"/>
      <c r="AD22" s="3">
        <f>DATE(Charts!$A$2,12,1)</f>
        <v>41609</v>
      </c>
      <c r="AE22" s="3">
        <f>DATE(Charts!$A$2,12,31)</f>
        <v>41639</v>
      </c>
    </row>
    <row r="23" spans="1:31" x14ac:dyDescent="0.35">
      <c r="A23" t="str">
        <f>LEFT($A22,1)+1&amp;"."</f>
        <v>2.</v>
      </c>
      <c r="B23" s="7" t="str">
        <f>INDEX($B$11:$B$17,MATCH(MAX($C$11:$C$17),$C$11:$C$17,0))&amp;" has the most amount sold in "&amp;Charts!$A$2&amp;"."</f>
        <v>Steel has the most amount sold in 2013.</v>
      </c>
      <c r="C23" s="11"/>
      <c r="D23" s="11"/>
      <c r="E23" s="11"/>
      <c r="J23" s="11"/>
      <c r="K23" s="11"/>
      <c r="L23" s="11"/>
      <c r="P23" t="s">
        <v>12</v>
      </c>
      <c r="Q23" s="11">
        <f>SUMIFS(Data!E:E,Data!$C:$C,$P23,Data!$H:$H,Charts!$A$2)</f>
        <v>47</v>
      </c>
      <c r="R23" s="11">
        <f>SUMIFS(Data!G:G,Data!$C:$C,$P23,Data!$H:$H,Charts!$A$2)</f>
        <v>1255</v>
      </c>
      <c r="S23" s="11">
        <f t="shared" si="3"/>
        <v>26.702127659574469</v>
      </c>
      <c r="T23" s="17">
        <f t="shared" si="5"/>
        <v>7.7464354052218992E-2</v>
      </c>
      <c r="X23" s="11"/>
      <c r="Y23" s="11"/>
      <c r="Z23" s="11"/>
      <c r="AA23" s="11"/>
      <c r="AB23" s="11"/>
      <c r="AD23" s="3">
        <f>DATE(Charts!$A$2+1,1,1)</f>
        <v>41640</v>
      </c>
    </row>
    <row r="24" spans="1:31" x14ac:dyDescent="0.35">
      <c r="A24" t="str">
        <f>LEFT($A23,1)+1&amp;"."</f>
        <v>3.</v>
      </c>
      <c r="B24" s="7" t="str">
        <f>INDEX($B$11:$B$17,MATCH(MAX($F$11:$F$17),$F$11:$F$17,0))&amp;" has the highest percentage of total revenue in "&amp;Charts!$A$2&amp;" ("&amp;TEXT(MAX($F$11:$F$17),"00.0%")&amp;")."</f>
        <v>Aluminum has the highest percentage of total revenue in 2013 (36.4%).</v>
      </c>
      <c r="C24" s="11"/>
      <c r="D24" s="11"/>
      <c r="E24" s="11"/>
      <c r="H24" s="16" t="s">
        <v>43</v>
      </c>
      <c r="J24" s="11"/>
      <c r="K24" s="11"/>
      <c r="L24" s="11"/>
      <c r="P24" t="s">
        <v>13</v>
      </c>
      <c r="Q24" s="11">
        <f>SUMIFS(Data!E:E,Data!$C:$C,$P24,Data!$H:$H,Charts!$A$2)</f>
        <v>42</v>
      </c>
      <c r="R24" s="11">
        <f>SUMIFS(Data!G:G,Data!$C:$C,$P24,Data!$H:$H,Charts!$A$2)</f>
        <v>1932</v>
      </c>
      <c r="S24" s="11">
        <f t="shared" si="3"/>
        <v>46</v>
      </c>
      <c r="T24" s="17">
        <f t="shared" si="5"/>
        <v>0.11925189803098574</v>
      </c>
      <c r="W24" t="s">
        <v>38</v>
      </c>
      <c r="X24" s="11">
        <f>SUM(X11:X23)</f>
        <v>534</v>
      </c>
      <c r="Y24" s="12">
        <f>SUM(Y11:Y23)</f>
        <v>16201</v>
      </c>
      <c r="Z24" s="12"/>
      <c r="AA24" s="12"/>
      <c r="AB24" s="12"/>
    </row>
    <row r="25" spans="1:31" x14ac:dyDescent="0.35">
      <c r="C25" s="11"/>
      <c r="D25" s="11"/>
      <c r="E25" s="11"/>
      <c r="H25" s="7" t="s">
        <v>48</v>
      </c>
      <c r="I25" s="7" t="str">
        <f>INDEX($I$11:$I$20,MATCH(MIN($K$11:$K$20),$K$11:$K$20,0))&amp;" has the least revenue in "&amp;Charts!$A$2&amp;"."</f>
        <v>Wire has the least revenue in 2013.</v>
      </c>
      <c r="J25" s="11"/>
      <c r="K25" s="11"/>
      <c r="L25" s="11"/>
      <c r="P25" t="s">
        <v>14</v>
      </c>
      <c r="Q25" s="15">
        <f>SUMIFS(Data!E:E,Data!$C:$C,$P25,Data!$H:$H,Charts!$A$2)</f>
        <v>5</v>
      </c>
      <c r="R25" s="15">
        <f>SUMIFS(Data!G:G,Data!$C:$C,$P25,Data!$H:$H,Charts!$A$2)</f>
        <v>295</v>
      </c>
      <c r="S25" s="11">
        <f t="shared" si="3"/>
        <v>59</v>
      </c>
      <c r="T25" s="17">
        <f t="shared" si="5"/>
        <v>1.8208752546139129E-2</v>
      </c>
      <c r="X25" s="15"/>
      <c r="Y25" s="15"/>
      <c r="Z25" s="15"/>
      <c r="AA25" s="15"/>
      <c r="AB25" s="15"/>
    </row>
    <row r="26" spans="1:31" x14ac:dyDescent="0.35">
      <c r="C26" s="11"/>
      <c r="D26" s="11"/>
      <c r="E26" s="11"/>
      <c r="H26" t="str">
        <f>LEFT($A22,1)+1&amp;"."</f>
        <v>2.</v>
      </c>
      <c r="I26" s="7" t="str">
        <f>INDEX($I$11:$I$20,MATCH(MAX($J$11:$J$20),$J$11:$J$20,0))&amp;" has the most amount sold in "&amp;Charts!$A$2&amp;"."</f>
        <v>Construction Debris has the most amount sold in 2013.</v>
      </c>
      <c r="J26" s="11"/>
      <c r="K26" s="11"/>
      <c r="L26" s="11"/>
      <c r="Q26" s="11"/>
      <c r="R26" s="11"/>
      <c r="S26" s="11"/>
    </row>
    <row r="27" spans="1:31" x14ac:dyDescent="0.35">
      <c r="H27" t="str">
        <f>LEFT($A23,1)+1&amp;"."</f>
        <v>3.</v>
      </c>
      <c r="I27" s="7" t="str">
        <f>INDEX($I$11:$I$20,MATCH(MAX($M$11:$M$20),$M$11:$M$20,0))&amp;" has the highest percentage of total revenue in "&amp;Charts!$A$2&amp;" ("&amp;TEXT(MAX($M$11:$M$20),"00.0%")&amp;")."</f>
        <v>Construction Debris has the highest percentage of total revenue in 2013 (24.9%).</v>
      </c>
      <c r="P27" t="s">
        <v>38</v>
      </c>
      <c r="Q27" s="11">
        <f>SUM(Q11:Q26)</f>
        <v>534</v>
      </c>
      <c r="R27" s="12">
        <f>SUM(R11:R26)</f>
        <v>16201</v>
      </c>
      <c r="S27" s="12">
        <f>R27/Q27</f>
        <v>30.338951310861422</v>
      </c>
      <c r="T27" s="17">
        <f t="shared" si="5"/>
        <v>1</v>
      </c>
    </row>
    <row r="28" spans="1:31" x14ac:dyDescent="0.35">
      <c r="C28" s="11"/>
      <c r="D28" s="12"/>
      <c r="E28" s="12"/>
      <c r="J28" s="11"/>
      <c r="K28" s="12"/>
      <c r="L28" s="12"/>
      <c r="Q28" s="11"/>
      <c r="R28" s="12"/>
      <c r="S28" s="12"/>
    </row>
    <row r="29" spans="1:31" x14ac:dyDescent="0.35">
      <c r="O29" s="16" t="s">
        <v>43</v>
      </c>
    </row>
    <row r="30" spans="1:31" x14ac:dyDescent="0.35">
      <c r="B30" s="7"/>
      <c r="I30" s="7"/>
      <c r="O30" s="7" t="s">
        <v>48</v>
      </c>
      <c r="P30" s="7" t="str">
        <f>INDEX($B$11:$B$17,MATCH(MIN($D$11:$D$17),$D$11:$D$17,0))&amp;" has the least revenue in "&amp;Charts!$A$2&amp;"."</f>
        <v>Brass has the least revenue in 2013.</v>
      </c>
    </row>
    <row r="31" spans="1:31" x14ac:dyDescent="0.35">
      <c r="B31" s="7"/>
      <c r="I31" s="7"/>
      <c r="O31" t="str">
        <f>LEFT($A22,1)+1&amp;"."</f>
        <v>2.</v>
      </c>
      <c r="P31" s="7" t="str">
        <f>INDEX($B$11:$B$17,MATCH(MAX($C$11:$C$17),$C$11:$C$17,0))&amp;" has the most amount sold in "&amp;Charts!$A$2&amp;"."</f>
        <v>Steel has the most amount sold in 2013.</v>
      </c>
    </row>
    <row r="32" spans="1:31" x14ac:dyDescent="0.35">
      <c r="O32" t="str">
        <f>LEFT($A23,1)+1&amp;"."</f>
        <v>3.</v>
      </c>
      <c r="P32" s="7" t="str">
        <f>INDEX($B$11:$B$17,MATCH(MAX($F$11:$F$17),$F$11:$F$17,0))&amp;" has the highest percentage of total revenue in "&amp;Charts!$A$2&amp;" ("&amp;TEXT(MAX($F$11:$F$17),"00.0%")&amp;")."</f>
        <v>Aluminum has the highest percentage of total revenue in 2013 (36.4%).</v>
      </c>
    </row>
    <row r="37" spans="8:16" x14ac:dyDescent="0.35">
      <c r="H37" s="7"/>
      <c r="I37" s="7"/>
      <c r="O37" s="7"/>
      <c r="P37" s="7"/>
    </row>
  </sheetData>
  <dataValidations count="1">
    <dataValidation type="list" allowBlank="1" showInputMessage="1" showErrorMessage="1" sqref="AC1">
      <formula1>$AD$2:$AD$4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defaultRowHeight="14.5" x14ac:dyDescent="0.35"/>
  <sheetData>
    <row r="1" spans="1:1" x14ac:dyDescent="0.35">
      <c r="A1" s="18" t="str">
        <f>"Amount Sold and % of Total Revenue during "&amp;$A$2</f>
        <v>Amount Sold and % of Total Revenue during 2013</v>
      </c>
    </row>
    <row r="2" spans="1:1" x14ac:dyDescent="0.35">
      <c r="A2">
        <v>2013</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Report!$AD$2:$AD$4</xm:f>
          </x14:formula1>
          <xm:sqref>A2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B2" sqref="B2:C9"/>
    </sheetView>
  </sheetViews>
  <sheetFormatPr defaultRowHeight="14.5" x14ac:dyDescent="0.35"/>
  <cols>
    <col min="1" max="1" width="12.36328125" bestFit="1" customWidth="1"/>
    <col min="2" max="2" width="20.26953125" bestFit="1" customWidth="1"/>
    <col min="3" max="3" width="19.1796875" bestFit="1" customWidth="1"/>
  </cols>
  <sheetData>
    <row r="1" spans="1:3" x14ac:dyDescent="0.35">
      <c r="A1" s="21" t="s">
        <v>70</v>
      </c>
      <c r="B1" t="s">
        <v>72</v>
      </c>
      <c r="C1" t="s">
        <v>73</v>
      </c>
    </row>
    <row r="2" spans="1:3" x14ac:dyDescent="0.35">
      <c r="A2" s="22" t="s">
        <v>21</v>
      </c>
      <c r="B2" s="11">
        <v>293</v>
      </c>
      <c r="C2" s="11">
        <v>15887</v>
      </c>
    </row>
    <row r="3" spans="1:3" x14ac:dyDescent="0.35">
      <c r="A3" s="22" t="s">
        <v>31</v>
      </c>
      <c r="B3" s="11">
        <v>40</v>
      </c>
      <c r="C3" s="11">
        <v>658</v>
      </c>
    </row>
    <row r="4" spans="1:3" x14ac:dyDescent="0.35">
      <c r="A4" s="22" t="s">
        <v>32</v>
      </c>
      <c r="B4" s="11">
        <v>149</v>
      </c>
      <c r="C4" s="11">
        <v>4525</v>
      </c>
    </row>
    <row r="5" spans="1:3" x14ac:dyDescent="0.35">
      <c r="A5" s="22" t="s">
        <v>34</v>
      </c>
      <c r="B5" s="11">
        <v>164</v>
      </c>
      <c r="C5" s="11">
        <v>5679</v>
      </c>
    </row>
    <row r="6" spans="1:3" x14ac:dyDescent="0.35">
      <c r="A6" s="22" t="s">
        <v>23</v>
      </c>
      <c r="B6" s="11">
        <v>110</v>
      </c>
      <c r="C6" s="11">
        <v>5076</v>
      </c>
    </row>
    <row r="7" spans="1:3" x14ac:dyDescent="0.35">
      <c r="A7" s="22" t="s">
        <v>25</v>
      </c>
      <c r="B7" s="11">
        <v>432</v>
      </c>
      <c r="C7" s="11">
        <v>16093</v>
      </c>
    </row>
    <row r="8" spans="1:3" x14ac:dyDescent="0.35">
      <c r="A8" s="22" t="s">
        <v>28</v>
      </c>
      <c r="B8" s="11">
        <v>68</v>
      </c>
      <c r="C8" s="11">
        <v>3401</v>
      </c>
    </row>
    <row r="9" spans="1:3" x14ac:dyDescent="0.35">
      <c r="A9" s="22" t="s">
        <v>71</v>
      </c>
      <c r="B9" s="11">
        <v>1256</v>
      </c>
      <c r="C9" s="11">
        <v>51319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workbookViewId="0">
      <selection activeCell="A17" sqref="A17"/>
    </sheetView>
  </sheetViews>
  <sheetFormatPr defaultRowHeight="14.5" x14ac:dyDescent="0.35"/>
  <cols>
    <col min="1" max="1" width="12.36328125" bestFit="1" customWidth="1"/>
    <col min="2" max="2" width="19.1796875" bestFit="1" customWidth="1"/>
  </cols>
  <sheetData>
    <row r="1" spans="1:2" x14ac:dyDescent="0.35">
      <c r="A1" s="21" t="s">
        <v>70</v>
      </c>
      <c r="B1" t="s">
        <v>73</v>
      </c>
    </row>
    <row r="2" spans="1:2" x14ac:dyDescent="0.35">
      <c r="A2" s="22" t="s">
        <v>74</v>
      </c>
      <c r="B2" s="11"/>
    </row>
    <row r="3" spans="1:2" x14ac:dyDescent="0.35">
      <c r="A3" s="23" t="s">
        <v>78</v>
      </c>
      <c r="B3" s="11">
        <v>360</v>
      </c>
    </row>
    <row r="4" spans="1:2" x14ac:dyDescent="0.35">
      <c r="A4" s="23" t="s">
        <v>77</v>
      </c>
      <c r="B4" s="11">
        <v>1524</v>
      </c>
    </row>
    <row r="5" spans="1:2" x14ac:dyDescent="0.35">
      <c r="A5" s="22" t="s">
        <v>75</v>
      </c>
      <c r="B5" s="11"/>
    </row>
    <row r="6" spans="1:2" x14ac:dyDescent="0.35">
      <c r="A6" s="23" t="s">
        <v>79</v>
      </c>
      <c r="B6" s="11">
        <v>4891</v>
      </c>
    </row>
    <row r="7" spans="1:2" x14ac:dyDescent="0.35">
      <c r="A7" s="23" t="s">
        <v>78</v>
      </c>
      <c r="B7" s="11">
        <v>900</v>
      </c>
    </row>
    <row r="8" spans="1:2" x14ac:dyDescent="0.35">
      <c r="A8" s="23" t="s">
        <v>80</v>
      </c>
      <c r="B8" s="11">
        <v>1976</v>
      </c>
    </row>
    <row r="9" spans="1:2" x14ac:dyDescent="0.35">
      <c r="A9" s="23" t="s">
        <v>81</v>
      </c>
      <c r="B9" s="11">
        <v>252</v>
      </c>
    </row>
    <row r="10" spans="1:2" x14ac:dyDescent="0.35">
      <c r="A10" s="23" t="s">
        <v>58</v>
      </c>
      <c r="B10" s="11">
        <v>1153</v>
      </c>
    </row>
    <row r="11" spans="1:2" x14ac:dyDescent="0.35">
      <c r="A11" s="23" t="s">
        <v>82</v>
      </c>
      <c r="B11" s="11">
        <v>775</v>
      </c>
    </row>
    <row r="12" spans="1:2" x14ac:dyDescent="0.35">
      <c r="A12" s="23" t="s">
        <v>83</v>
      </c>
      <c r="B12" s="11">
        <v>2112</v>
      </c>
    </row>
    <row r="13" spans="1:2" x14ac:dyDescent="0.35">
      <c r="A13" s="23" t="s">
        <v>84</v>
      </c>
      <c r="B13" s="11">
        <v>1230</v>
      </c>
    </row>
    <row r="14" spans="1:2" x14ac:dyDescent="0.35">
      <c r="A14" s="23" t="s">
        <v>85</v>
      </c>
      <c r="B14" s="11">
        <v>295</v>
      </c>
    </row>
    <row r="15" spans="1:2" x14ac:dyDescent="0.35">
      <c r="A15" s="23" t="s">
        <v>86</v>
      </c>
      <c r="B15" s="11">
        <v>2265</v>
      </c>
    </row>
    <row r="16" spans="1:2" x14ac:dyDescent="0.35">
      <c r="A16" s="23" t="s">
        <v>77</v>
      </c>
      <c r="B16" s="11">
        <v>352</v>
      </c>
    </row>
    <row r="17" spans="1:2" x14ac:dyDescent="0.35">
      <c r="A17" s="22" t="s">
        <v>76</v>
      </c>
      <c r="B17" s="11"/>
    </row>
    <row r="18" spans="1:2" x14ac:dyDescent="0.35">
      <c r="A18" s="23" t="s">
        <v>79</v>
      </c>
      <c r="B18" s="11">
        <v>1710</v>
      </c>
    </row>
    <row r="19" spans="1:2" x14ac:dyDescent="0.35">
      <c r="A19" s="23" t="s">
        <v>78</v>
      </c>
      <c r="B19" s="11">
        <v>7205</v>
      </c>
    </row>
    <row r="20" spans="1:2" x14ac:dyDescent="0.35">
      <c r="A20" s="23" t="s">
        <v>80</v>
      </c>
      <c r="B20" s="11">
        <v>3188</v>
      </c>
    </row>
    <row r="21" spans="1:2" x14ac:dyDescent="0.35">
      <c r="A21" s="23" t="s">
        <v>81</v>
      </c>
      <c r="B21" s="11">
        <v>3381</v>
      </c>
    </row>
    <row r="22" spans="1:2" x14ac:dyDescent="0.35">
      <c r="A22" s="23" t="s">
        <v>58</v>
      </c>
      <c r="B22" s="11">
        <v>1568</v>
      </c>
    </row>
    <row r="23" spans="1:2" x14ac:dyDescent="0.35">
      <c r="A23" s="23" t="s">
        <v>82</v>
      </c>
      <c r="B23" s="11">
        <v>3222</v>
      </c>
    </row>
    <row r="24" spans="1:2" x14ac:dyDescent="0.35">
      <c r="A24" s="23" t="s">
        <v>87</v>
      </c>
      <c r="B24" s="11">
        <v>1940</v>
      </c>
    </row>
    <row r="25" spans="1:2" x14ac:dyDescent="0.35">
      <c r="A25" s="23" t="s">
        <v>84</v>
      </c>
      <c r="B25" s="11">
        <v>5045</v>
      </c>
    </row>
    <row r="26" spans="1:2" x14ac:dyDescent="0.35">
      <c r="A26" s="23" t="s">
        <v>85</v>
      </c>
      <c r="B26" s="11">
        <v>1834</v>
      </c>
    </row>
    <row r="27" spans="1:2" x14ac:dyDescent="0.35">
      <c r="A27" s="23" t="s">
        <v>86</v>
      </c>
      <c r="B27" s="11">
        <v>901</v>
      </c>
    </row>
    <row r="28" spans="1:2" x14ac:dyDescent="0.35">
      <c r="A28" s="23" t="s">
        <v>77</v>
      </c>
      <c r="B28" s="11">
        <v>3240</v>
      </c>
    </row>
    <row r="29" spans="1:2" x14ac:dyDescent="0.35">
      <c r="A29" s="22" t="s">
        <v>71</v>
      </c>
      <c r="B29" s="11">
        <v>51319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showGridLines="0" showRowColHeaders="0" tabSelected="1" workbookViewId="0">
      <selection activeCell="L8" sqref="L8"/>
    </sheetView>
  </sheetViews>
  <sheetFormatPr defaultRowHeight="14.5" x14ac:dyDescent="0.35"/>
  <cols>
    <col min="1" max="1" width="12.36328125" bestFit="1" customWidth="1"/>
    <col min="2" max="2" width="20.26953125" bestFit="1" customWidth="1"/>
    <col min="3" max="3" width="19.1796875" bestFit="1" customWidth="1"/>
  </cols>
  <sheetData>
    <row r="1" spans="1:3" x14ac:dyDescent="0.35">
      <c r="A1" s="21" t="s">
        <v>70</v>
      </c>
      <c r="B1" t="s">
        <v>72</v>
      </c>
      <c r="C1" t="s">
        <v>73</v>
      </c>
    </row>
    <row r="2" spans="1:3" x14ac:dyDescent="0.35">
      <c r="A2" s="22" t="s">
        <v>21</v>
      </c>
      <c r="B2" s="11">
        <v>293</v>
      </c>
      <c r="C2" s="11">
        <v>15887</v>
      </c>
    </row>
    <row r="3" spans="1:3" x14ac:dyDescent="0.35">
      <c r="A3" s="22" t="s">
        <v>31</v>
      </c>
      <c r="B3" s="11">
        <v>40</v>
      </c>
      <c r="C3" s="11">
        <v>658</v>
      </c>
    </row>
    <row r="4" spans="1:3" x14ac:dyDescent="0.35">
      <c r="A4" s="22" t="s">
        <v>32</v>
      </c>
      <c r="B4" s="11">
        <v>149</v>
      </c>
      <c r="C4" s="11">
        <v>4525</v>
      </c>
    </row>
    <row r="5" spans="1:3" x14ac:dyDescent="0.35">
      <c r="A5" s="22" t="s">
        <v>34</v>
      </c>
      <c r="B5" s="11">
        <v>164</v>
      </c>
      <c r="C5" s="11">
        <v>5679</v>
      </c>
    </row>
    <row r="6" spans="1:3" x14ac:dyDescent="0.35">
      <c r="A6" s="22" t="s">
        <v>23</v>
      </c>
      <c r="B6" s="11">
        <v>110</v>
      </c>
      <c r="C6" s="11">
        <v>5076</v>
      </c>
    </row>
    <row r="7" spans="1:3" x14ac:dyDescent="0.35">
      <c r="A7" s="22" t="s">
        <v>25</v>
      </c>
      <c r="B7" s="11">
        <v>432</v>
      </c>
      <c r="C7" s="11">
        <v>16093</v>
      </c>
    </row>
    <row r="8" spans="1:3" x14ac:dyDescent="0.35">
      <c r="A8" s="22" t="s">
        <v>28</v>
      </c>
      <c r="B8" s="11">
        <v>68</v>
      </c>
      <c r="C8" s="11">
        <v>3401</v>
      </c>
    </row>
    <row r="9" spans="1:3" x14ac:dyDescent="0.35">
      <c r="A9" s="22" t="s">
        <v>71</v>
      </c>
      <c r="B9" s="11">
        <v>1256</v>
      </c>
      <c r="C9" s="11">
        <v>51319</v>
      </c>
    </row>
    <row r="11" spans="1:3" x14ac:dyDescent="0.35">
      <c r="A11" s="21" t="s">
        <v>70</v>
      </c>
      <c r="B11" t="s">
        <v>72</v>
      </c>
      <c r="C11" t="s">
        <v>73</v>
      </c>
    </row>
    <row r="12" spans="1:3" x14ac:dyDescent="0.35">
      <c r="A12" s="22" t="s">
        <v>25</v>
      </c>
      <c r="B12" s="11">
        <v>432</v>
      </c>
      <c r="C12" s="11">
        <v>16093</v>
      </c>
    </row>
    <row r="13" spans="1:3" x14ac:dyDescent="0.35">
      <c r="A13" s="22" t="s">
        <v>21</v>
      </c>
      <c r="B13" s="11">
        <v>293</v>
      </c>
      <c r="C13" s="11">
        <v>15887</v>
      </c>
    </row>
    <row r="14" spans="1:3" x14ac:dyDescent="0.35">
      <c r="A14" s="22" t="s">
        <v>34</v>
      </c>
      <c r="B14" s="11">
        <v>164</v>
      </c>
      <c r="C14" s="11">
        <v>5679</v>
      </c>
    </row>
    <row r="15" spans="1:3" x14ac:dyDescent="0.35">
      <c r="A15" s="22" t="s">
        <v>32</v>
      </c>
      <c r="B15" s="11">
        <v>149</v>
      </c>
      <c r="C15" s="11">
        <v>4525</v>
      </c>
    </row>
    <row r="16" spans="1:3" x14ac:dyDescent="0.35">
      <c r="A16" s="22" t="s">
        <v>23</v>
      </c>
      <c r="B16" s="11">
        <v>110</v>
      </c>
      <c r="C16" s="11">
        <v>5076</v>
      </c>
    </row>
    <row r="17" spans="1:3" x14ac:dyDescent="0.35">
      <c r="A17" s="22" t="s">
        <v>28</v>
      </c>
      <c r="B17" s="11">
        <v>68</v>
      </c>
      <c r="C17" s="11">
        <v>3401</v>
      </c>
    </row>
    <row r="18" spans="1:3" x14ac:dyDescent="0.35">
      <c r="A18" s="22" t="s">
        <v>31</v>
      </c>
      <c r="B18" s="11">
        <v>40</v>
      </c>
      <c r="C18" s="11">
        <v>658</v>
      </c>
    </row>
    <row r="19" spans="1:3" x14ac:dyDescent="0.35">
      <c r="A19" s="22" t="s">
        <v>71</v>
      </c>
      <c r="B19" s="11">
        <v>1256</v>
      </c>
      <c r="C19" s="11">
        <v>51319</v>
      </c>
    </row>
  </sheetData>
  <pageMargins left="0.7" right="0.7" top="0.75" bottom="0.75" header="0.3" footer="0.3"/>
  <drawing r:id="rId3"/>
  <extLst>
    <ext xmlns:x14="http://schemas.microsoft.com/office/spreadsheetml/2009/9/main" uri="{A8765BA9-456A-4dab-B4F3-ACF838C121DE}">
      <x14:slicerList>
        <x14:slicer r:id="rId4"/>
      </x14:slicerList>
    </ext>
    <ext xmlns:x15="http://schemas.microsoft.com/office/spreadsheetml/2010/11/main" uri="{7E03D99C-DC04-49d9-9315-930204A7B6E9}">
      <x15:timelineRefs>
        <x15:timelineRef r:id="rId5"/>
      </x15:timelineRef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vt:lpstr>
      <vt:lpstr>Report</vt:lpstr>
      <vt:lpstr>Charts</vt:lpstr>
      <vt:lpstr>Pivot-Amt in Tons_Total Rev</vt:lpstr>
      <vt:lpstr>Pivot-Total Revenue</vt:lpstr>
      <vt:lpstr>Dashboard</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Aruss</dc:creator>
  <cp:lastModifiedBy>Adam</cp:lastModifiedBy>
  <dcterms:created xsi:type="dcterms:W3CDTF">2015-04-17T04:55:01Z</dcterms:created>
  <dcterms:modified xsi:type="dcterms:W3CDTF">2016-09-29T19:11:50Z</dcterms:modified>
</cp:coreProperties>
</file>